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threadedComments/threadedComment2.xml" ContentType="application/vnd.ms-excel.threadedcomments+xml"/>
  <Override PartName="/xl/comments31.xml" ContentType="application/vnd.openxmlformats-officedocument.spreadsheetml.comments+xml"/>
  <Override PartName="/xl/drawings/drawing1.xml" ContentType="application/vnd.openxmlformats-officedocument.drawing+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threadedComments/threadedComment3.xml" ContentType="application/vnd.ms-excel.threaded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15"/>
  <workbookPr autoCompressPictures="0"/>
  <mc:AlternateContent xmlns:mc="http://schemas.openxmlformats.org/markup-compatibility/2006">
    <mc:Choice Requires="x15">
      <x15ac:absPath xmlns:x15ac="http://schemas.microsoft.com/office/spreadsheetml/2010/11/ac" url="C:\Users\CWB170\Downloads\"/>
    </mc:Choice>
  </mc:AlternateContent>
  <xr:revisionPtr revIDLastSave="0" documentId="8_{F8761D17-C021-4E59-A234-88D570FB840F}" xr6:coauthVersionLast="47" xr6:coauthVersionMax="47" xr10:uidLastSave="{00000000-0000-0000-0000-000000000000}"/>
  <workbookProtection workbookAlgorithmName="SHA-512" workbookHashValue="aLoynctZSVpyKO2E47sop/XTZejEDg9DI8B2OPJE1B2/BfTfAkHX8pYetD0GOTF/4Ryk3m0ILJyc+dZu6cK9jA==" workbookSaltValue="eWve6pwudgvFBqgSD36KlA==" workbookSpinCount="100000" lockStructure="1"/>
  <bookViews>
    <workbookView xWindow="-120" yWindow="-120" windowWidth="29040" windowHeight="15840" tabRatio="917" xr2:uid="{00000000-000D-0000-FFFF-FFFF00000000}"/>
  </bookViews>
  <sheets>
    <sheet name="Enrolled&amp;Grads" sheetId="68" r:id="rId1"/>
    <sheet name="Alabama" sheetId="2" r:id="rId2"/>
    <sheet name="Albany" sheetId="4" r:id="rId3"/>
    <sheet name="Alberta" sheetId="58" r:id="rId4"/>
    <sheet name="Arizona" sheetId="5" r:id="rId5"/>
    <sheet name="British Columbia" sheetId="6" r:id="rId6"/>
    <sheet name="Buffalo" sheetId="7" r:id="rId7"/>
    <sheet name="California Los Angeles" sheetId="8" r:id="rId8"/>
    <sheet name="Catholic" sheetId="9" r:id="rId9"/>
    <sheet name="Chicago State" sheetId="59" r:id="rId10"/>
    <sheet name="Clarion" sheetId="10" r:id="rId11"/>
    <sheet name="Dalhousie" sheetId="11" r:id="rId12"/>
    <sheet name="Denver" sheetId="60" r:id="rId13"/>
    <sheet name="Dominican" sheetId="12" r:id="rId14"/>
    <sheet name="Drexel" sheetId="13" r:id="rId15"/>
    <sheet name="East Carolina" sheetId="14" r:id="rId16"/>
    <sheet name="Emporia State" sheetId="15" r:id="rId17"/>
    <sheet name="Florida State" sheetId="16" r:id="rId18"/>
    <sheet name="Hawaii" sheetId="17" r:id="rId19"/>
    <sheet name="Illinois" sheetId="18" r:id="rId20"/>
    <sheet name="Indiana-Bloomington" sheetId="19" r:id="rId21"/>
    <sheet name="Indiana-IUPUI" sheetId="66" r:id="rId22"/>
    <sheet name="Iowa" sheetId="20" r:id="rId23"/>
    <sheet name="Kent State" sheetId="21" r:id="rId24"/>
    <sheet name="Kentucky" sheetId="22" r:id="rId25"/>
    <sheet name="Long Island" sheetId="23" r:id="rId26"/>
    <sheet name="Louisiana State" sheetId="24" r:id="rId27"/>
    <sheet name="Maryland" sheetId="25" r:id="rId28"/>
    <sheet name="McGill" sheetId="26" r:id="rId29"/>
    <sheet name="Michigan" sheetId="61" r:id="rId30"/>
    <sheet name="Missouri" sheetId="27" r:id="rId31"/>
    <sheet name="Montreal" sheetId="28" r:id="rId32"/>
    <sheet name="North Carolina Central" sheetId="29" r:id="rId33"/>
    <sheet name="North Carolina Chapel Hill" sheetId="30" r:id="rId34"/>
    <sheet name="North Carolina Greensboro" sheetId="31" r:id="rId35"/>
    <sheet name="North Texas" sheetId="32" r:id="rId36"/>
    <sheet name="Oklahoma" sheetId="33" r:id="rId37"/>
    <sheet name="Old Dominion" sheetId="69" r:id="rId38"/>
    <sheet name="Ottawa" sheetId="34" r:id="rId39"/>
    <sheet name="Pittsburgh" sheetId="35" r:id="rId40"/>
    <sheet name="Pratt" sheetId="36" r:id="rId41"/>
    <sheet name="Puerto Rico" sheetId="62" r:id="rId42"/>
    <sheet name="Queens" sheetId="37" r:id="rId43"/>
    <sheet name="Rhode Island" sheetId="63" r:id="rId44"/>
    <sheet name="Rutgers" sheetId="38" r:id="rId45"/>
    <sheet name="San Jose State" sheetId="39" r:id="rId46"/>
    <sheet name="Simmons" sheetId="40" r:id="rId47"/>
    <sheet name="South Carolina" sheetId="41" r:id="rId48"/>
    <sheet name="South Florida" sheetId="42" r:id="rId49"/>
    <sheet name="Southern California" sheetId="43" r:id="rId50"/>
    <sheet name="Southern Connecticut" sheetId="65" r:id="rId51"/>
    <sheet name="Southern Mississippi" sheetId="45" r:id="rId52"/>
    <sheet name="St. Catherine" sheetId="46" r:id="rId53"/>
    <sheet name="St. John's" sheetId="47" r:id="rId54"/>
    <sheet name="Syracuse" sheetId="57" r:id="rId55"/>
    <sheet name="Tennessee" sheetId="48" r:id="rId56"/>
    <sheet name="Texas Austin" sheetId="49" r:id="rId57"/>
    <sheet name="Texas Woman's" sheetId="50" r:id="rId58"/>
    <sheet name="Toronto" sheetId="51" r:id="rId59"/>
    <sheet name="Univ College London" sheetId="67" r:id="rId60"/>
    <sheet name="Valdosta State" sheetId="64" r:id="rId61"/>
    <sheet name="Washington" sheetId="52" r:id="rId62"/>
    <sheet name="Wayne State" sheetId="53" r:id="rId63"/>
    <sheet name="Western Ontario" sheetId="54" r:id="rId64"/>
    <sheet name="Wisconsin Madison" sheetId="55" r:id="rId65"/>
    <sheet name="Wisconsin Milwaukee" sheetId="56" r:id="rId6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 i="68" l="1"/>
  <c r="T3" i="55"/>
  <c r="W3" i="55" s="1"/>
  <c r="M3" i="55"/>
  <c r="P3" i="55" s="1"/>
  <c r="K3" i="55"/>
  <c r="E3" i="55"/>
  <c r="D3" i="55"/>
  <c r="F3" i="55" s="1"/>
  <c r="T3" i="67" l="1"/>
  <c r="W3" i="67" s="1"/>
  <c r="M3" i="67"/>
  <c r="P3" i="67" s="1"/>
  <c r="K3" i="67"/>
  <c r="D3" i="67"/>
  <c r="T3" i="51" l="1"/>
  <c r="W3" i="51" s="1"/>
  <c r="M3" i="51"/>
  <c r="P3" i="51" s="1"/>
  <c r="K3" i="51"/>
  <c r="E3" i="51"/>
  <c r="D3" i="51"/>
  <c r="F3" i="51" s="1"/>
  <c r="T3" i="48" l="1"/>
  <c r="W3" i="48" s="1"/>
  <c r="M3" i="48"/>
  <c r="P3" i="48" s="1"/>
  <c r="K3" i="48"/>
  <c r="E3" i="48"/>
  <c r="D3" i="48"/>
  <c r="F3" i="48" s="1"/>
  <c r="W3" i="45" l="1"/>
  <c r="P3" i="45"/>
  <c r="M3" i="45"/>
  <c r="K3" i="45"/>
  <c r="F3" i="45"/>
  <c r="E3" i="45"/>
  <c r="D3" i="45"/>
  <c r="W3" i="38" l="1"/>
  <c r="T3" i="38"/>
  <c r="M3" i="38"/>
  <c r="P3" i="38" s="1"/>
  <c r="K3" i="38"/>
  <c r="F3" i="38"/>
  <c r="E3" i="38"/>
  <c r="T3" i="36" l="1"/>
  <c r="W3" i="36" s="1"/>
  <c r="M3" i="36"/>
  <c r="K3" i="36"/>
  <c r="E3" i="36"/>
  <c r="D3" i="36"/>
  <c r="F3" i="36" s="1"/>
  <c r="T3" i="35" l="1"/>
  <c r="W3" i="35" s="1"/>
  <c r="M3" i="35"/>
  <c r="P3" i="35" s="1"/>
  <c r="K3" i="35"/>
  <c r="F3" i="35"/>
  <c r="E3" i="35"/>
  <c r="D3" i="35"/>
  <c r="M3" i="10" l="1"/>
  <c r="P3" i="10" s="1"/>
  <c r="K3" i="10"/>
  <c r="E3" i="10"/>
  <c r="D3" i="10"/>
  <c r="F3" i="10" s="1"/>
  <c r="T3" i="34" l="1"/>
  <c r="W3" i="34" s="1"/>
  <c r="M3" i="34"/>
  <c r="P3" i="34" s="1"/>
  <c r="K3" i="34"/>
  <c r="E3" i="34"/>
  <c r="D3" i="34"/>
  <c r="F3" i="34" s="1"/>
  <c r="W3" i="33" l="1"/>
  <c r="P3" i="33"/>
  <c r="M3" i="33"/>
  <c r="K3" i="33"/>
  <c r="F3" i="33"/>
  <c r="E3" i="33"/>
  <c r="D3" i="33"/>
  <c r="W3" i="30" l="1"/>
  <c r="M3" i="30"/>
  <c r="P3" i="30" s="1"/>
  <c r="K3" i="30"/>
  <c r="E3" i="30"/>
  <c r="D3" i="30"/>
  <c r="F3" i="30" s="1"/>
  <c r="T3" i="26" l="1"/>
  <c r="W3" i="26" s="1"/>
  <c r="M3" i="26"/>
  <c r="P3" i="26" s="1"/>
  <c r="K3" i="26"/>
  <c r="E3" i="26"/>
  <c r="D3" i="26"/>
  <c r="F3" i="26" s="1"/>
  <c r="W3" i="23" l="1"/>
  <c r="M3" i="23"/>
  <c r="P3" i="23" s="1"/>
  <c r="K3" i="23"/>
  <c r="E3" i="23"/>
  <c r="D3" i="23"/>
  <c r="F3" i="23" s="1"/>
  <c r="T3" i="22" l="1"/>
  <c r="W3" i="22" s="1"/>
  <c r="O3" i="22"/>
  <c r="F3" i="22" s="1"/>
  <c r="N3" i="22"/>
  <c r="M3" i="22"/>
  <c r="P3" i="22" s="1"/>
  <c r="K3" i="22"/>
  <c r="D3" i="22"/>
  <c r="E3" i="22" l="1"/>
  <c r="T3" i="21" l="1"/>
  <c r="W3" i="21" s="1"/>
  <c r="M3" i="21"/>
  <c r="P3" i="21" s="1"/>
  <c r="K3" i="21"/>
  <c r="E3" i="21"/>
  <c r="D3" i="21"/>
  <c r="F3" i="21" s="1"/>
  <c r="K3" i="59" l="1"/>
  <c r="D3" i="59"/>
  <c r="T3" i="9" l="1"/>
  <c r="W3" i="9" s="1"/>
  <c r="M3" i="9"/>
  <c r="P3" i="9" s="1"/>
  <c r="K3" i="9"/>
  <c r="F3" i="9"/>
  <c r="E3" i="9"/>
  <c r="D3" i="9"/>
  <c r="W3" i="7" l="1"/>
  <c r="T3" i="7"/>
  <c r="M3" i="7"/>
  <c r="P3" i="7" s="1"/>
  <c r="K3" i="7"/>
  <c r="E3" i="7"/>
  <c r="D3" i="7"/>
  <c r="F3" i="7" s="1"/>
  <c r="M3" i="6" l="1"/>
  <c r="P3" i="6" s="1"/>
  <c r="K3" i="6"/>
  <c r="F3" i="6"/>
  <c r="E3" i="6"/>
  <c r="T3" i="4" l="1"/>
  <c r="W3" i="4" s="1"/>
  <c r="M3" i="4"/>
  <c r="P3" i="4" s="1"/>
  <c r="K3" i="4"/>
  <c r="F3" i="4"/>
  <c r="E3" i="4"/>
  <c r="D3" i="4"/>
  <c r="T3" i="53" l="1"/>
  <c r="W3" i="53" s="1"/>
  <c r="M3" i="53"/>
  <c r="P3" i="53" s="1"/>
  <c r="K3" i="53"/>
  <c r="E3" i="53"/>
  <c r="D3" i="53"/>
  <c r="F3" i="53" s="1"/>
  <c r="T3" i="52" l="1"/>
  <c r="W3" i="52" s="1"/>
  <c r="P3" i="52"/>
  <c r="M3" i="52"/>
  <c r="K3" i="52"/>
  <c r="E3" i="52"/>
  <c r="D3" i="52"/>
  <c r="F3" i="52" s="1"/>
  <c r="T3" i="50" l="1"/>
  <c r="W3" i="50" s="1"/>
  <c r="M3" i="50"/>
  <c r="P3" i="50" s="1"/>
  <c r="K3" i="50"/>
  <c r="F3" i="50"/>
  <c r="E3" i="50"/>
  <c r="D3" i="50"/>
  <c r="T3" i="57" l="1"/>
  <c r="W3" i="57" s="1"/>
  <c r="M3" i="57"/>
  <c r="P3" i="57" s="1"/>
  <c r="K3" i="57"/>
  <c r="E3" i="57"/>
  <c r="D3" i="57"/>
  <c r="F3" i="57" s="1"/>
  <c r="T3" i="40" l="1"/>
  <c r="W3" i="40" s="1"/>
  <c r="M3" i="40"/>
  <c r="P3" i="40" s="1"/>
  <c r="K3" i="40"/>
  <c r="E3" i="40"/>
  <c r="D3" i="40"/>
  <c r="F3" i="40" s="1"/>
  <c r="T3" i="39" l="1"/>
  <c r="W3" i="39" s="1"/>
  <c r="M3" i="39"/>
  <c r="P3" i="39" s="1"/>
  <c r="K3" i="39"/>
  <c r="E3" i="39"/>
  <c r="D3" i="39"/>
  <c r="F3" i="39" s="1"/>
  <c r="W3" i="62" l="1"/>
  <c r="T3" i="62"/>
  <c r="P3" i="62"/>
  <c r="M3" i="62"/>
  <c r="K3" i="62"/>
  <c r="F3" i="62"/>
  <c r="E3" i="62"/>
  <c r="D3" i="62"/>
  <c r="T3" i="28" l="1"/>
  <c r="W3" i="28" s="1"/>
  <c r="M3" i="28"/>
  <c r="P3" i="28" s="1"/>
  <c r="K3" i="28"/>
  <c r="F3" i="28"/>
  <c r="E3" i="28"/>
  <c r="D3" i="28"/>
  <c r="T3" i="25" l="1"/>
  <c r="W3" i="25" s="1"/>
  <c r="M3" i="25"/>
  <c r="P3" i="25" s="1"/>
  <c r="K3" i="25"/>
  <c r="F3" i="25"/>
  <c r="E3" i="25"/>
  <c r="D3" i="25"/>
  <c r="T3" i="66" l="1"/>
  <c r="W3" i="66" s="1"/>
  <c r="M3" i="66"/>
  <c r="P3" i="66" s="1"/>
  <c r="K3" i="66"/>
  <c r="H3" i="66"/>
  <c r="E3" i="66"/>
  <c r="D3" i="66"/>
  <c r="F3" i="66" s="1"/>
  <c r="T3" i="19" l="1"/>
  <c r="W3" i="19" s="1"/>
  <c r="M3" i="19"/>
  <c r="P3" i="19" s="1"/>
  <c r="K3" i="19"/>
  <c r="E3" i="19"/>
  <c r="D3" i="19"/>
  <c r="F3" i="19" s="1"/>
  <c r="T3" i="18" l="1"/>
  <c r="W3" i="18" s="1"/>
  <c r="M3" i="18"/>
  <c r="P3" i="18" s="1"/>
  <c r="K3" i="18"/>
  <c r="F3" i="18"/>
  <c r="E3" i="18"/>
  <c r="D3" i="18"/>
  <c r="T3" i="16" l="1"/>
  <c r="W3" i="16" s="1"/>
  <c r="M3" i="16"/>
  <c r="P3" i="16" s="1"/>
  <c r="K3" i="16"/>
  <c r="F3" i="16"/>
  <c r="E3" i="16"/>
  <c r="D3" i="16"/>
  <c r="T3" i="12" l="1"/>
  <c r="W3" i="12" s="1"/>
  <c r="L3" i="12"/>
  <c r="M3" i="12" s="1"/>
  <c r="P3" i="12" s="1"/>
  <c r="K3" i="12"/>
  <c r="E3" i="12"/>
  <c r="D3" i="12"/>
  <c r="F3" i="12" s="1"/>
  <c r="T3" i="60" l="1"/>
  <c r="W3" i="60" s="1"/>
  <c r="M3" i="60"/>
  <c r="P3" i="60" s="1"/>
  <c r="K3" i="60"/>
  <c r="F3" i="60"/>
  <c r="E3" i="60"/>
  <c r="D3" i="60"/>
  <c r="T3" i="8" l="1"/>
  <c r="W3" i="8" s="1"/>
  <c r="M3" i="8"/>
  <c r="P3" i="8" s="1"/>
  <c r="K3" i="8"/>
  <c r="F3" i="8"/>
  <c r="E3" i="8"/>
  <c r="D3" i="8"/>
  <c r="T3" i="5" l="1"/>
  <c r="W3" i="5" s="1"/>
  <c r="R3" i="5"/>
  <c r="O3" i="5"/>
  <c r="L3" i="5"/>
  <c r="J3" i="5"/>
  <c r="I3" i="5"/>
  <c r="M3" i="5" s="1"/>
  <c r="P3" i="5" s="1"/>
  <c r="F3" i="5"/>
  <c r="E3" i="5"/>
  <c r="D3" i="5"/>
  <c r="K3" i="5" l="1"/>
  <c r="T3" i="58" l="1"/>
  <c r="W3" i="58" s="1"/>
  <c r="P3" i="58"/>
  <c r="M3" i="58"/>
  <c r="K3" i="58"/>
  <c r="F3" i="58"/>
  <c r="E3" i="58"/>
  <c r="D3" i="58"/>
  <c r="T3" i="2"/>
  <c r="W3" i="2" s="1"/>
  <c r="M3" i="2"/>
  <c r="P3" i="2" s="1"/>
  <c r="K3" i="2"/>
  <c r="E3" i="2"/>
  <c r="D3" i="2"/>
  <c r="F3" i="2" s="1"/>
  <c r="T3" i="54" l="1"/>
  <c r="W3" i="54" s="1"/>
  <c r="M3" i="54"/>
  <c r="P3" i="54" s="1"/>
  <c r="K3" i="54"/>
  <c r="E3" i="54"/>
  <c r="D3" i="54"/>
  <c r="F3" i="54" s="1"/>
  <c r="W3" i="64" l="1"/>
  <c r="T3" i="64"/>
  <c r="M3" i="64"/>
  <c r="P3" i="64" s="1"/>
  <c r="K3" i="64"/>
  <c r="E3" i="64"/>
  <c r="D3" i="64"/>
  <c r="F3" i="64" s="1"/>
  <c r="T3" i="49" l="1"/>
  <c r="W3" i="49" s="1"/>
  <c r="M3" i="49"/>
  <c r="P3" i="49" s="1"/>
  <c r="K3" i="49"/>
  <c r="E3" i="49"/>
  <c r="D3" i="49"/>
  <c r="F3" i="49" s="1"/>
  <c r="T3" i="43" l="1"/>
  <c r="W3" i="43" s="1"/>
  <c r="P3" i="43"/>
  <c r="M3" i="43"/>
  <c r="K3" i="43"/>
  <c r="E3" i="43"/>
  <c r="D3" i="43"/>
  <c r="F3" i="43" s="1"/>
  <c r="T3" i="42"/>
  <c r="W3" i="42" s="1"/>
  <c r="P3" i="42"/>
  <c r="M3" i="42"/>
  <c r="F3" i="42"/>
  <c r="E3" i="42"/>
  <c r="D3" i="42"/>
  <c r="T3" i="41" l="1"/>
  <c r="W3" i="41" s="1"/>
  <c r="P3" i="41"/>
  <c r="M3" i="41"/>
  <c r="K3" i="41"/>
  <c r="E3" i="41"/>
  <c r="D3" i="41"/>
  <c r="F3" i="41" s="1"/>
  <c r="W3" i="69" l="1"/>
  <c r="T3" i="69"/>
  <c r="M3" i="69"/>
  <c r="P3" i="69" s="1"/>
  <c r="K3" i="69"/>
  <c r="F3" i="69"/>
  <c r="E3" i="69"/>
  <c r="D3" i="69"/>
  <c r="T3" i="32" l="1"/>
  <c r="W3" i="32" s="1"/>
  <c r="P3" i="32"/>
  <c r="M3" i="32"/>
  <c r="K3" i="32"/>
  <c r="F3" i="32"/>
  <c r="E3" i="32"/>
  <c r="D3" i="32"/>
  <c r="T3" i="29" l="1"/>
  <c r="W3" i="29" s="1"/>
  <c r="M3" i="29"/>
  <c r="P3" i="29" s="1"/>
  <c r="K3" i="29"/>
  <c r="E3" i="29"/>
  <c r="D3" i="29"/>
  <c r="F3" i="29" s="1"/>
  <c r="U3" i="29" l="1"/>
  <c r="T3" i="61" l="1"/>
  <c r="W3" i="61" s="1"/>
  <c r="M3" i="61"/>
  <c r="P3" i="61" s="1"/>
  <c r="K3" i="61"/>
  <c r="F3" i="61"/>
  <c r="E3" i="61"/>
  <c r="D3" i="61"/>
  <c r="W3" i="24" l="1"/>
  <c r="T3" i="24"/>
  <c r="M3" i="24"/>
  <c r="E3" i="24" s="1"/>
  <c r="K3" i="24"/>
  <c r="D3" i="24"/>
  <c r="F3" i="24" s="1"/>
  <c r="P3" i="24" l="1"/>
  <c r="T3" i="20" l="1"/>
  <c r="W3" i="20" s="1"/>
  <c r="M3" i="20"/>
  <c r="P3" i="20" s="1"/>
  <c r="K3" i="20"/>
  <c r="F3" i="20"/>
  <c r="E3" i="20"/>
  <c r="D3" i="20"/>
  <c r="W3" i="15" l="1"/>
  <c r="M3" i="15"/>
  <c r="P3" i="15" s="1"/>
  <c r="K3" i="15"/>
  <c r="E3" i="15"/>
  <c r="D3" i="15"/>
  <c r="F3" i="15" s="1"/>
  <c r="T3" i="14" l="1"/>
  <c r="W3" i="14" s="1"/>
  <c r="Q3" i="14"/>
  <c r="N3" i="14"/>
  <c r="L3" i="14"/>
  <c r="O3" i="14" s="1"/>
  <c r="K3" i="14"/>
  <c r="D3" i="14"/>
  <c r="F3" i="14" l="1"/>
  <c r="E3" i="14"/>
  <c r="M3" i="14"/>
  <c r="T3" i="13" l="1"/>
  <c r="W3" i="13" s="1"/>
  <c r="M3" i="13"/>
  <c r="P3" i="13" s="1"/>
  <c r="K3" i="13"/>
  <c r="F3" i="13"/>
  <c r="E3" i="13"/>
  <c r="D3" i="13"/>
  <c r="T3" i="11" l="1"/>
  <c r="W3" i="11" s="1"/>
  <c r="M3" i="11"/>
  <c r="P3" i="11" s="1"/>
  <c r="K3" i="11"/>
  <c r="F3" i="11"/>
  <c r="E3" i="11"/>
  <c r="D3" i="11"/>
  <c r="C6" i="68" l="1"/>
  <c r="C4" i="68"/>
  <c r="C2" i="68"/>
  <c r="W4" i="17"/>
  <c r="M4" i="17"/>
  <c r="P4" i="17" s="1"/>
  <c r="K4" i="17"/>
  <c r="E4" i="17"/>
  <c r="D4" i="17"/>
  <c r="F4" i="17" s="1"/>
  <c r="W4" i="19"/>
  <c r="P4" i="19"/>
  <c r="D4" i="19"/>
  <c r="P5" i="17"/>
  <c r="W5" i="17"/>
  <c r="W6" i="17"/>
  <c r="W4" i="9"/>
  <c r="T4" i="55"/>
  <c r="W4" i="55" s="1"/>
  <c r="M4" i="55"/>
  <c r="P4" i="55" s="1"/>
  <c r="K4" i="55"/>
  <c r="E4" i="55"/>
  <c r="D4" i="55"/>
  <c r="F4" i="55" s="1"/>
  <c r="T4" i="54" l="1"/>
  <c r="W4" i="54" s="1"/>
  <c r="M4" i="54"/>
  <c r="P4" i="54" s="1"/>
  <c r="K4" i="54"/>
  <c r="E4" i="54"/>
  <c r="D4" i="54"/>
  <c r="F4" i="54" s="1"/>
  <c r="T4" i="53" l="1"/>
  <c r="W4" i="53" s="1"/>
  <c r="M4" i="53"/>
  <c r="P4" i="53" s="1"/>
  <c r="K4" i="53"/>
  <c r="E4" i="53"/>
  <c r="D4" i="53"/>
  <c r="F4" i="53" s="1"/>
  <c r="T4" i="52" l="1"/>
  <c r="W4" i="52" s="1"/>
  <c r="M4" i="52"/>
  <c r="P4" i="52" s="1"/>
  <c r="K4" i="52"/>
  <c r="E4" i="52"/>
  <c r="D4" i="52"/>
  <c r="F4" i="52" s="1"/>
  <c r="T4" i="67" l="1"/>
  <c r="W4" i="67" s="1"/>
  <c r="M4" i="67"/>
  <c r="P4" i="67" s="1"/>
  <c r="F4" i="67"/>
  <c r="E4" i="67"/>
  <c r="W4" i="51" l="1"/>
  <c r="R4" i="51"/>
  <c r="Q4" i="51"/>
  <c r="C3" i="68" s="1"/>
  <c r="E4" i="51"/>
  <c r="D4" i="51"/>
  <c r="F4" i="51" s="1"/>
  <c r="T4" i="50" l="1"/>
  <c r="W4" i="50" s="1"/>
  <c r="M4" i="50"/>
  <c r="P4" i="50" s="1"/>
  <c r="K4" i="50"/>
  <c r="E4" i="50"/>
  <c r="D4" i="50"/>
  <c r="F4" i="50" s="1"/>
  <c r="T5" i="49" l="1"/>
  <c r="W5" i="49" s="1"/>
  <c r="M5" i="49"/>
  <c r="P5" i="49" s="1"/>
  <c r="K5" i="49"/>
  <c r="E5" i="49"/>
  <c r="D5" i="49"/>
  <c r="F5" i="49" s="1"/>
  <c r="M4" i="49" l="1"/>
  <c r="P4" i="49" s="1"/>
  <c r="K4" i="49"/>
  <c r="E4" i="49"/>
  <c r="D4" i="49"/>
  <c r="F4" i="49" s="1"/>
  <c r="T4" i="48" l="1"/>
  <c r="W4" i="48" s="1"/>
  <c r="M4" i="48"/>
  <c r="P4" i="48" s="1"/>
  <c r="K4" i="48"/>
  <c r="E4" i="48"/>
  <c r="D4" i="48"/>
  <c r="F4" i="48" s="1"/>
  <c r="T4" i="57" l="1"/>
  <c r="W4" i="57" s="1"/>
  <c r="M4" i="57"/>
  <c r="P4" i="57" s="1"/>
  <c r="K4" i="57"/>
  <c r="E4" i="57"/>
  <c r="D4" i="57"/>
  <c r="F4" i="57" s="1"/>
  <c r="T4" i="47" l="1"/>
  <c r="W4" i="47" s="1"/>
  <c r="M4" i="47"/>
  <c r="P4" i="47" s="1"/>
  <c r="K4" i="47"/>
  <c r="E4" i="47"/>
  <c r="D4" i="47"/>
  <c r="F4" i="47" s="1"/>
  <c r="T4" i="45" l="1"/>
  <c r="W4" i="45" s="1"/>
  <c r="M4" i="45"/>
  <c r="P4" i="45" s="1"/>
  <c r="K4" i="45"/>
  <c r="E4" i="45"/>
  <c r="D4" i="45"/>
  <c r="F4" i="45" s="1"/>
  <c r="T4" i="43" l="1"/>
  <c r="W4" i="43" s="1"/>
  <c r="M4" i="43"/>
  <c r="P4" i="43" s="1"/>
  <c r="K4" i="43"/>
  <c r="E4" i="43"/>
  <c r="D4" i="43"/>
  <c r="F4" i="43" s="1"/>
  <c r="T4" i="42" l="1"/>
  <c r="W4" i="42" s="1"/>
  <c r="M4" i="42"/>
  <c r="P4" i="42" s="1"/>
  <c r="K4" i="42"/>
  <c r="E4" i="42"/>
  <c r="D4" i="42"/>
  <c r="F4" i="42" s="1"/>
  <c r="T4" i="41" l="1"/>
  <c r="W4" i="41" s="1"/>
  <c r="M4" i="41"/>
  <c r="P4" i="41" s="1"/>
  <c r="K4" i="41"/>
  <c r="E4" i="41"/>
  <c r="D4" i="41"/>
  <c r="F4" i="41" s="1"/>
  <c r="T4" i="40" l="1"/>
  <c r="W4" i="40" s="1"/>
  <c r="M4" i="40"/>
  <c r="P4" i="40" s="1"/>
  <c r="K4" i="40"/>
  <c r="E4" i="40"/>
  <c r="D4" i="40"/>
  <c r="F4" i="40" s="1"/>
  <c r="T4" i="39" l="1"/>
  <c r="W4" i="39" s="1"/>
  <c r="M4" i="39"/>
  <c r="P4" i="39" s="1"/>
  <c r="K4" i="39"/>
  <c r="E4" i="39"/>
  <c r="D4" i="39"/>
  <c r="F4" i="39" s="1"/>
  <c r="T4" i="37" l="1"/>
  <c r="W4" i="37" s="1"/>
  <c r="P4" i="37"/>
  <c r="K4" i="37"/>
  <c r="E4" i="37"/>
  <c r="D4" i="37"/>
  <c r="F4" i="37" s="1"/>
  <c r="T4" i="38" l="1"/>
  <c r="W4" i="38" s="1"/>
  <c r="M4" i="38"/>
  <c r="P4" i="38" s="1"/>
  <c r="K4" i="38"/>
  <c r="F4" i="38"/>
  <c r="E4" i="38"/>
  <c r="T4" i="36" l="1"/>
  <c r="W4" i="36" s="1"/>
  <c r="M4" i="36"/>
  <c r="K4" i="36"/>
  <c r="E4" i="36"/>
  <c r="D4" i="36"/>
  <c r="F4" i="36" s="1"/>
  <c r="T4" i="35" l="1"/>
  <c r="W4" i="35" s="1"/>
  <c r="M4" i="35"/>
  <c r="P4" i="35" s="1"/>
  <c r="K4" i="35"/>
  <c r="E4" i="35"/>
  <c r="D4" i="35"/>
  <c r="F4" i="35" s="1"/>
  <c r="T4" i="34" l="1"/>
  <c r="W4" i="34" s="1"/>
  <c r="M4" i="34"/>
  <c r="P4" i="34" s="1"/>
  <c r="K4" i="34"/>
  <c r="E4" i="34"/>
  <c r="D4" i="34"/>
  <c r="F4" i="34" s="1"/>
  <c r="T4" i="69"/>
  <c r="W4" i="69" s="1"/>
  <c r="M4" i="69"/>
  <c r="P4" i="69" s="1"/>
  <c r="K4" i="69"/>
  <c r="E4" i="69"/>
  <c r="D4" i="69"/>
  <c r="F4" i="69" s="1"/>
  <c r="P4" i="33" l="1"/>
  <c r="K4" i="33"/>
  <c r="E4" i="33"/>
  <c r="D4" i="33"/>
  <c r="F4" i="33" s="1"/>
  <c r="T4" i="32" l="1"/>
  <c r="W4" i="32" s="1"/>
  <c r="M4" i="32"/>
  <c r="P4" i="32" s="1"/>
  <c r="K4" i="32"/>
  <c r="E4" i="32"/>
  <c r="D4" i="32"/>
  <c r="F4" i="32" s="1"/>
  <c r="W4" i="30" l="1"/>
  <c r="T4" i="30"/>
  <c r="M4" i="30"/>
  <c r="P4" i="30" s="1"/>
  <c r="K4" i="30"/>
  <c r="E4" i="30"/>
  <c r="D4" i="30"/>
  <c r="F4" i="30" s="1"/>
  <c r="T4" i="29" l="1"/>
  <c r="W4" i="29" s="1"/>
  <c r="M4" i="29"/>
  <c r="P4" i="29" s="1"/>
  <c r="K4" i="29"/>
  <c r="E4" i="29"/>
  <c r="D4" i="29"/>
  <c r="F4" i="29" s="1"/>
  <c r="U4" i="29" l="1"/>
  <c r="T4" i="28" l="1"/>
  <c r="W4" i="28" s="1"/>
  <c r="M4" i="28"/>
  <c r="P4" i="28" s="1"/>
  <c r="K4" i="28"/>
  <c r="E4" i="28"/>
  <c r="D4" i="28"/>
  <c r="F4" i="28" s="1"/>
  <c r="V4" i="61" l="1"/>
  <c r="U4" i="61"/>
  <c r="T4" i="61"/>
  <c r="M4" i="61"/>
  <c r="P4" i="61" s="1"/>
  <c r="K4" i="61"/>
  <c r="E4" i="61"/>
  <c r="D4" i="61"/>
  <c r="F4" i="61" s="1"/>
  <c r="W4" i="61" l="1"/>
  <c r="W4" i="26"/>
  <c r="L4" i="26"/>
  <c r="M4" i="26" s="1"/>
  <c r="K4" i="26"/>
  <c r="E4" i="26"/>
  <c r="D4" i="26"/>
  <c r="F4" i="26" s="1"/>
  <c r="U4" i="25" l="1"/>
  <c r="T4" i="25" s="1"/>
  <c r="W4" i="25" s="1"/>
  <c r="M4" i="25"/>
  <c r="P4" i="25" s="1"/>
  <c r="K4" i="25"/>
  <c r="G4" i="25"/>
  <c r="E4" i="25"/>
  <c r="C4" i="25"/>
  <c r="H4" i="25" s="1"/>
  <c r="T4" i="24"/>
  <c r="W4" i="24" s="1"/>
  <c r="M4" i="24"/>
  <c r="P4" i="24" s="1"/>
  <c r="K4" i="24"/>
  <c r="F4" i="24"/>
  <c r="E4" i="24"/>
  <c r="D4" i="24"/>
  <c r="D4" i="25" l="1"/>
  <c r="F4" i="25" s="1"/>
  <c r="U4" i="23"/>
  <c r="T4" i="23" s="1"/>
  <c r="W4" i="23" s="1"/>
  <c r="M4" i="23"/>
  <c r="P4" i="23" s="1"/>
  <c r="K4" i="23"/>
  <c r="E4" i="23"/>
  <c r="D4" i="23"/>
  <c r="F4" i="23" s="1"/>
  <c r="T4" i="22" l="1"/>
  <c r="W4" i="22" s="1"/>
  <c r="M4" i="22"/>
  <c r="K4" i="22"/>
  <c r="D4" i="22"/>
  <c r="O4" i="22" l="1"/>
  <c r="F4" i="22" l="1"/>
  <c r="E4" i="22"/>
  <c r="P4" i="22"/>
  <c r="T4" i="21" l="1"/>
  <c r="W4" i="21" s="1"/>
  <c r="M4" i="21"/>
  <c r="P4" i="21" s="1"/>
  <c r="K4" i="21"/>
  <c r="E4" i="21"/>
  <c r="D4" i="21"/>
  <c r="F4" i="21" s="1"/>
  <c r="T4" i="20" l="1"/>
  <c r="W4" i="20" s="1"/>
  <c r="O4" i="20"/>
  <c r="L4" i="20"/>
  <c r="J4" i="20"/>
  <c r="I4" i="20"/>
  <c r="K4" i="20" s="1"/>
  <c r="D4" i="20"/>
  <c r="F4" i="20" l="1"/>
  <c r="M4" i="20"/>
  <c r="P4" i="20" s="1"/>
  <c r="E4" i="20"/>
  <c r="T4" i="66" l="1"/>
  <c r="W4" i="66" s="1"/>
  <c r="H4" i="66"/>
  <c r="E4" i="66"/>
  <c r="D4" i="66"/>
  <c r="F4" i="66" s="1"/>
  <c r="T4" i="18" l="1"/>
  <c r="W4" i="18" s="1"/>
  <c r="M4" i="18"/>
  <c r="P4" i="18" s="1"/>
  <c r="K4" i="18"/>
  <c r="E4" i="18"/>
  <c r="D4" i="18"/>
  <c r="F4" i="18" s="1"/>
  <c r="T4" i="16" l="1"/>
  <c r="W4" i="16" s="1"/>
  <c r="P4" i="16"/>
  <c r="K4" i="16"/>
  <c r="E4" i="16"/>
  <c r="D4" i="16"/>
  <c r="F4" i="16" s="1"/>
  <c r="T4" i="15" l="1"/>
  <c r="W4" i="15" s="1"/>
  <c r="M4" i="15"/>
  <c r="P4" i="15" s="1"/>
  <c r="K4" i="15"/>
  <c r="E4" i="15"/>
  <c r="D4" i="15"/>
  <c r="F4" i="15" s="1"/>
  <c r="M4" i="14" l="1"/>
  <c r="K4" i="14"/>
  <c r="D4" i="14"/>
  <c r="T4" i="13" l="1"/>
  <c r="W4" i="13" s="1"/>
  <c r="M4" i="13"/>
  <c r="P4" i="13" s="1"/>
  <c r="K4" i="13"/>
  <c r="E4" i="13"/>
  <c r="D4" i="13"/>
  <c r="F4" i="13" s="1"/>
  <c r="T4" i="12" l="1"/>
  <c r="W4" i="12" s="1"/>
  <c r="L4" i="12"/>
  <c r="M4" i="12" s="1"/>
  <c r="P4" i="12" s="1"/>
  <c r="K4" i="12"/>
  <c r="E4" i="12"/>
  <c r="D4" i="12"/>
  <c r="F4" i="12" s="1"/>
  <c r="T4" i="60" l="1"/>
  <c r="W4" i="60" s="1"/>
  <c r="M4" i="60"/>
  <c r="P4" i="60" s="1"/>
  <c r="K4" i="60"/>
  <c r="E4" i="60"/>
  <c r="D4" i="60"/>
  <c r="F4" i="60" s="1"/>
  <c r="T4" i="11" l="1"/>
  <c r="W4" i="11" s="1"/>
  <c r="M4" i="11"/>
  <c r="P4" i="11" s="1"/>
  <c r="K4" i="11"/>
  <c r="E4" i="11"/>
  <c r="D4" i="11"/>
  <c r="F4" i="11" s="1"/>
  <c r="T4" i="10" l="1"/>
  <c r="P4" i="10"/>
  <c r="M4" i="10"/>
  <c r="K4" i="10"/>
  <c r="F4" i="10"/>
  <c r="E4" i="10"/>
  <c r="D4" i="10"/>
  <c r="T4" i="59" l="1"/>
  <c r="W4" i="59" s="1"/>
  <c r="M4" i="59"/>
  <c r="P4" i="59" s="1"/>
  <c r="K4" i="59"/>
  <c r="E4" i="59"/>
  <c r="D4" i="59"/>
  <c r="F4" i="59" s="1"/>
  <c r="T4" i="8"/>
  <c r="W4" i="8" s="1"/>
  <c r="M4" i="8"/>
  <c r="P4" i="8" s="1"/>
  <c r="K4" i="8"/>
  <c r="E4" i="8"/>
  <c r="D4" i="8"/>
  <c r="F4" i="8" s="1"/>
  <c r="W4" i="7" l="1"/>
  <c r="T4" i="7"/>
  <c r="M4" i="7"/>
  <c r="P4" i="7" s="1"/>
  <c r="K4" i="7"/>
  <c r="E4" i="7"/>
  <c r="D4" i="7"/>
  <c r="F4" i="7" s="1"/>
  <c r="M4" i="6" l="1"/>
  <c r="P4" i="6" s="1"/>
  <c r="K4" i="6"/>
  <c r="F4" i="6"/>
  <c r="E4" i="6"/>
  <c r="T4" i="5" l="1"/>
  <c r="W4" i="5" s="1"/>
  <c r="M4" i="5"/>
  <c r="P4" i="5" s="1"/>
  <c r="K4" i="5"/>
  <c r="E4" i="5"/>
  <c r="D4" i="5"/>
  <c r="F4" i="5" s="1"/>
  <c r="T4" i="58" l="1"/>
  <c r="W4" i="58" s="1"/>
  <c r="M4" i="58"/>
  <c r="P4" i="58" s="1"/>
  <c r="K4" i="58"/>
  <c r="D4" i="58"/>
  <c r="T4" i="4"/>
  <c r="W4" i="4" s="1"/>
  <c r="M4" i="4"/>
  <c r="P4" i="4" s="1"/>
  <c r="K4" i="4"/>
  <c r="E4" i="4"/>
  <c r="D4" i="4"/>
  <c r="F4" i="4" s="1"/>
  <c r="T4" i="2" l="1"/>
  <c r="W4" i="2" s="1"/>
  <c r="M4" i="2"/>
  <c r="P4" i="2" s="1"/>
  <c r="K4" i="2"/>
  <c r="E4" i="2"/>
  <c r="D4" i="2"/>
  <c r="F4" i="2" s="1"/>
  <c r="W6" i="69"/>
  <c r="M6" i="69"/>
  <c r="P6" i="69" s="1"/>
  <c r="K6" i="69"/>
  <c r="E6" i="69"/>
  <c r="D6" i="69"/>
  <c r="F6" i="69" s="1"/>
  <c r="T5" i="69"/>
  <c r="W5" i="69" s="1"/>
  <c r="M5" i="69"/>
  <c r="P5" i="69" s="1"/>
  <c r="K5" i="69"/>
  <c r="E5" i="69"/>
  <c r="D5" i="69"/>
  <c r="F5" i="69" s="1"/>
  <c r="T5" i="55"/>
  <c r="W5" i="55" s="1"/>
  <c r="M5" i="55"/>
  <c r="P5" i="55" s="1"/>
  <c r="K5" i="55"/>
  <c r="E5" i="55"/>
  <c r="D5" i="55"/>
  <c r="F5" i="55" s="1"/>
  <c r="T6" i="67" l="1"/>
  <c r="W6" i="67" s="1"/>
  <c r="L6" i="67"/>
  <c r="M6" i="67" s="1"/>
  <c r="P6" i="67" s="1"/>
  <c r="K6" i="67"/>
  <c r="E6" i="67"/>
  <c r="D6" i="67"/>
  <c r="F6" i="67" s="1"/>
  <c r="T5" i="67" l="1"/>
  <c r="W5" i="67" s="1"/>
  <c r="L5" i="67"/>
  <c r="M5" i="67" s="1"/>
  <c r="P5" i="67" s="1"/>
  <c r="K5" i="67"/>
  <c r="E5" i="67"/>
  <c r="D5" i="67"/>
  <c r="F5" i="67" s="1"/>
  <c r="W5" i="51" l="1"/>
  <c r="M5" i="51"/>
  <c r="P5" i="51" s="1"/>
  <c r="K5" i="51"/>
  <c r="E5" i="51"/>
  <c r="D5" i="51"/>
  <c r="F5" i="51" s="1"/>
  <c r="T5" i="48" l="1"/>
  <c r="W5" i="48" s="1"/>
  <c r="M5" i="48"/>
  <c r="P5" i="48" s="1"/>
  <c r="K5" i="48"/>
  <c r="E5" i="48"/>
  <c r="D5" i="48"/>
  <c r="F5" i="48" s="1"/>
  <c r="W5" i="45" l="1"/>
  <c r="T5" i="38" l="1"/>
  <c r="E5" i="38"/>
  <c r="D5" i="38"/>
  <c r="F5" i="38" s="1"/>
  <c r="T5" i="36" l="1"/>
  <c r="W5" i="36" s="1"/>
  <c r="M5" i="36"/>
  <c r="P5" i="36" s="1"/>
  <c r="K5" i="36"/>
  <c r="E5" i="36"/>
  <c r="D5" i="36"/>
  <c r="F5" i="36" s="1"/>
  <c r="T5" i="35" l="1"/>
  <c r="W5" i="35" s="1"/>
  <c r="M5" i="35"/>
  <c r="P5" i="35" s="1"/>
  <c r="K5" i="35"/>
  <c r="E5" i="35"/>
  <c r="D5" i="35"/>
  <c r="F5" i="35" s="1"/>
  <c r="W5" i="34" l="1"/>
  <c r="M5" i="34"/>
  <c r="P5" i="34" s="1"/>
  <c r="K5" i="34"/>
  <c r="H5" i="34"/>
  <c r="E5" i="34"/>
  <c r="C5" i="34"/>
  <c r="D5" i="34" s="1"/>
  <c r="F5" i="34" s="1"/>
  <c r="T5" i="33"/>
  <c r="M5" i="33"/>
  <c r="P5" i="33" s="1"/>
  <c r="K5" i="33"/>
  <c r="E5" i="33"/>
  <c r="D5" i="33"/>
  <c r="F5" i="33" s="1"/>
  <c r="T5" i="30" l="1"/>
  <c r="W5" i="30" s="1"/>
  <c r="M5" i="30"/>
  <c r="P5" i="30" s="1"/>
  <c r="K5" i="30"/>
  <c r="E5" i="30"/>
  <c r="D5" i="30"/>
  <c r="F5" i="30" s="1"/>
  <c r="W6" i="27" l="1"/>
  <c r="M6" i="27"/>
  <c r="P6" i="27" s="1"/>
  <c r="K6" i="27"/>
  <c r="E6" i="27"/>
  <c r="T5" i="26"/>
  <c r="W5" i="26" s="1"/>
  <c r="M5" i="26"/>
  <c r="K5" i="26"/>
  <c r="E5" i="26"/>
  <c r="D5" i="26"/>
  <c r="F5" i="26" s="1"/>
  <c r="P5" i="26" l="1"/>
  <c r="P4" i="26"/>
  <c r="T5" i="23"/>
  <c r="W5" i="23" s="1"/>
  <c r="M5" i="23"/>
  <c r="P5" i="23" s="1"/>
  <c r="K5" i="23"/>
  <c r="D5" i="23"/>
  <c r="T5" i="22" l="1"/>
  <c r="W5" i="22" s="1"/>
  <c r="M5" i="22"/>
  <c r="P5" i="22" s="1"/>
  <c r="K5" i="22"/>
  <c r="E5" i="22"/>
  <c r="D5" i="22"/>
  <c r="F5" i="22" s="1"/>
  <c r="W5" i="21" l="1"/>
  <c r="M5" i="21"/>
  <c r="P5" i="21" s="1"/>
  <c r="K5" i="21"/>
  <c r="E5" i="21"/>
  <c r="D5" i="21"/>
  <c r="F5" i="21" s="1"/>
  <c r="T5" i="9" l="1"/>
  <c r="W5" i="7" l="1"/>
  <c r="T5" i="7"/>
  <c r="M5" i="7"/>
  <c r="P5" i="7" s="1"/>
  <c r="K5" i="7"/>
  <c r="E5" i="7"/>
  <c r="D5" i="7"/>
  <c r="F5" i="7" s="1"/>
  <c r="T5" i="6"/>
  <c r="W5" i="6" s="1"/>
  <c r="M5" i="6"/>
  <c r="P5" i="6" s="1"/>
  <c r="K5" i="6"/>
  <c r="E5" i="6"/>
  <c r="D5" i="6"/>
  <c r="F5" i="6" s="1"/>
  <c r="W5" i="53" l="1"/>
  <c r="M5" i="53"/>
  <c r="P5" i="53" s="1"/>
  <c r="K5" i="53"/>
  <c r="E5" i="53"/>
  <c r="D5" i="53"/>
  <c r="F5" i="53" s="1"/>
  <c r="T6" i="52" l="1"/>
  <c r="W6" i="52" s="1"/>
  <c r="M6" i="52"/>
  <c r="P6" i="52" s="1"/>
  <c r="K6" i="52"/>
  <c r="E6" i="52"/>
  <c r="D6" i="52"/>
  <c r="F6" i="52" s="1"/>
  <c r="T5" i="52"/>
  <c r="W5" i="52" s="1"/>
  <c r="M5" i="52"/>
  <c r="P5" i="52" s="1"/>
  <c r="K5" i="52"/>
  <c r="E5" i="52"/>
  <c r="D5" i="52"/>
  <c r="F5" i="52" s="1"/>
  <c r="T5" i="50" l="1"/>
  <c r="W5" i="50" s="1"/>
  <c r="M5" i="50"/>
  <c r="P5" i="50" s="1"/>
  <c r="K5" i="50"/>
  <c r="E5" i="50"/>
  <c r="D5" i="50"/>
  <c r="F5" i="50" s="1"/>
  <c r="T5" i="57" l="1"/>
  <c r="W5" i="57" s="1"/>
  <c r="M5" i="57"/>
  <c r="P5" i="57" s="1"/>
  <c r="K5" i="57"/>
  <c r="E5" i="57"/>
  <c r="D5" i="57"/>
  <c r="F5" i="57" s="1"/>
  <c r="U5" i="40" l="1"/>
  <c r="T5" i="40" s="1"/>
  <c r="W5" i="40" s="1"/>
  <c r="P5" i="40"/>
  <c r="E5" i="40"/>
  <c r="D5" i="40"/>
  <c r="F5" i="40" s="1"/>
  <c r="T5" i="39" l="1"/>
  <c r="W5" i="39" s="1"/>
  <c r="M5" i="39"/>
  <c r="P5" i="39" s="1"/>
  <c r="K5" i="39"/>
  <c r="E5" i="39"/>
  <c r="D5" i="39"/>
  <c r="F5" i="39" s="1"/>
  <c r="T5" i="28" l="1"/>
  <c r="W5" i="28" s="1"/>
  <c r="M5" i="28"/>
  <c r="P5" i="28" s="1"/>
  <c r="K5" i="28"/>
  <c r="E5" i="28"/>
  <c r="D5" i="28"/>
  <c r="F5" i="28" s="1"/>
  <c r="T5" i="25" l="1"/>
  <c r="W5" i="25" s="1"/>
  <c r="M5" i="25"/>
  <c r="P5" i="25" s="1"/>
  <c r="K5" i="25"/>
  <c r="F5" i="25"/>
  <c r="E5" i="25"/>
  <c r="T5" i="66" l="1"/>
  <c r="W5" i="66" s="1"/>
  <c r="M5" i="66"/>
  <c r="P5" i="66" s="1"/>
  <c r="K5" i="66"/>
  <c r="E5" i="66"/>
  <c r="D5" i="66"/>
  <c r="F5" i="66" s="1"/>
  <c r="T5" i="19" l="1"/>
  <c r="W5" i="19" s="1"/>
  <c r="M5" i="19"/>
  <c r="P5" i="19" s="1"/>
  <c r="K5" i="19"/>
  <c r="E5" i="19"/>
  <c r="D5" i="19"/>
  <c r="F5" i="19" s="1"/>
  <c r="T5" i="18" l="1"/>
  <c r="W5" i="18" s="1"/>
  <c r="M5" i="18"/>
  <c r="P5" i="18" s="1"/>
  <c r="K5" i="18"/>
  <c r="E5" i="18"/>
  <c r="D5" i="18"/>
  <c r="F5" i="18" s="1"/>
  <c r="T5" i="16" l="1"/>
  <c r="W5" i="16" s="1"/>
  <c r="M5" i="16"/>
  <c r="P5" i="16" s="1"/>
  <c r="K5" i="16"/>
  <c r="E5" i="16"/>
  <c r="D5" i="16"/>
  <c r="F5" i="16" s="1"/>
  <c r="T5" i="12" l="1"/>
  <c r="W5" i="12" s="1"/>
  <c r="L5" i="12"/>
  <c r="M5" i="12" s="1"/>
  <c r="P5" i="12" s="1"/>
  <c r="K5" i="12"/>
  <c r="B3" i="68" s="1"/>
  <c r="E5" i="12"/>
  <c r="D5" i="12"/>
  <c r="F5" i="12" s="1"/>
  <c r="T5" i="60" l="1"/>
  <c r="W5" i="60" s="1"/>
  <c r="M5" i="60"/>
  <c r="P5" i="60" s="1"/>
  <c r="K5" i="60"/>
  <c r="E5" i="60"/>
  <c r="D5" i="60"/>
  <c r="F5" i="60" s="1"/>
  <c r="T5" i="8" l="1"/>
  <c r="W5" i="8" s="1"/>
  <c r="M5" i="8"/>
  <c r="P5" i="8" s="1"/>
  <c r="K5" i="8"/>
  <c r="E5" i="8"/>
  <c r="D5" i="8"/>
  <c r="F5" i="8" s="1"/>
  <c r="T6" i="54" l="1"/>
  <c r="W6" i="54" s="1"/>
  <c r="M6" i="54"/>
  <c r="P6" i="54" s="1"/>
  <c r="K6" i="54"/>
  <c r="E6" i="54"/>
  <c r="D6" i="54"/>
  <c r="F6" i="54" s="1"/>
  <c r="T5" i="54"/>
  <c r="W5" i="54" s="1"/>
  <c r="M5" i="54"/>
  <c r="P5" i="54" s="1"/>
  <c r="E5" i="54"/>
  <c r="D5" i="54"/>
  <c r="F5" i="54" s="1"/>
  <c r="F5" i="64" l="1"/>
  <c r="E5" i="64"/>
  <c r="T5" i="47" l="1"/>
  <c r="W5" i="47" s="1"/>
  <c r="M5" i="47"/>
  <c r="P5" i="47" s="1"/>
  <c r="K5" i="47"/>
  <c r="E5" i="47"/>
  <c r="D5" i="47"/>
  <c r="F5" i="47" s="1"/>
  <c r="W5" i="46" l="1"/>
  <c r="T5" i="65" l="1"/>
  <c r="P5" i="65"/>
  <c r="K5" i="65"/>
  <c r="D5" i="65"/>
  <c r="T5" i="43" l="1"/>
  <c r="W5" i="43" s="1"/>
  <c r="M5" i="43"/>
  <c r="P5" i="43" s="1"/>
  <c r="K5" i="43"/>
  <c r="E5" i="43"/>
  <c r="D5" i="43"/>
  <c r="F5" i="43" s="1"/>
  <c r="T5" i="41"/>
  <c r="W5" i="41" s="1"/>
  <c r="M5" i="41"/>
  <c r="P5" i="41" s="1"/>
  <c r="K5" i="41"/>
  <c r="E5" i="41"/>
  <c r="D5" i="41"/>
  <c r="F5" i="41" s="1"/>
  <c r="W5" i="42"/>
  <c r="M5" i="42"/>
  <c r="P5" i="42" s="1"/>
  <c r="K5" i="42"/>
  <c r="E5" i="42"/>
  <c r="D5" i="42"/>
  <c r="F5" i="42" s="1"/>
  <c r="T5" i="37" l="1"/>
  <c r="W5" i="37" s="1"/>
  <c r="M5" i="37"/>
  <c r="P5" i="37" s="1"/>
  <c r="K5" i="37"/>
  <c r="E5" i="37"/>
  <c r="D5" i="37"/>
  <c r="F5" i="37" s="1"/>
  <c r="T5" i="32" l="1"/>
  <c r="W5" i="32" s="1"/>
  <c r="M5" i="32"/>
  <c r="P5" i="32" s="1"/>
  <c r="K5" i="32"/>
  <c r="E5" i="32"/>
  <c r="D5" i="32"/>
  <c r="F5" i="32" s="1"/>
  <c r="T5" i="29" l="1"/>
  <c r="W5" i="29" s="1"/>
  <c r="M5" i="29"/>
  <c r="P5" i="29" s="1"/>
  <c r="K5" i="29"/>
  <c r="E5" i="29"/>
  <c r="D5" i="29"/>
  <c r="F5" i="29" s="1"/>
  <c r="U5" i="29" l="1"/>
  <c r="T5" i="61" l="1"/>
  <c r="W5" i="61" s="1"/>
  <c r="M5" i="61"/>
  <c r="P5" i="61" s="1"/>
  <c r="K5" i="61"/>
  <c r="E5" i="61"/>
  <c r="D5" i="61"/>
  <c r="F5" i="61" s="1"/>
  <c r="T5" i="24" l="1"/>
  <c r="W5" i="24" s="1"/>
  <c r="M5" i="24"/>
  <c r="P5" i="24" s="1"/>
  <c r="K5" i="24"/>
  <c r="E5" i="24"/>
  <c r="D5" i="24"/>
  <c r="F5" i="24" s="1"/>
  <c r="T5" i="20" l="1"/>
  <c r="W5" i="20" s="1"/>
  <c r="M5" i="20"/>
  <c r="P5" i="20" s="1"/>
  <c r="K5" i="20"/>
  <c r="E5" i="20"/>
  <c r="D5" i="20"/>
  <c r="F5" i="20" s="1"/>
  <c r="T5" i="15" l="1"/>
  <c r="W5" i="15" s="1"/>
  <c r="M5" i="15"/>
  <c r="P5" i="15" s="1"/>
  <c r="K5" i="15"/>
  <c r="E5" i="15"/>
  <c r="D5" i="15"/>
  <c r="F5" i="15" s="1"/>
  <c r="T5" i="14" l="1"/>
  <c r="W5" i="14" s="1"/>
  <c r="M5" i="14"/>
  <c r="P5" i="14" s="1"/>
  <c r="K5" i="14"/>
  <c r="E5" i="14"/>
  <c r="D5" i="14"/>
  <c r="F5" i="14" s="1"/>
  <c r="T5" i="13" l="1"/>
  <c r="W5" i="13" s="1"/>
  <c r="M5" i="13"/>
  <c r="P5" i="13" s="1"/>
  <c r="K5" i="13"/>
  <c r="E5" i="13"/>
  <c r="D5" i="13"/>
  <c r="F5" i="13" s="1"/>
  <c r="T5" i="11" l="1"/>
  <c r="W5" i="11" s="1"/>
  <c r="M5" i="11"/>
  <c r="P5" i="11" s="1"/>
  <c r="K5" i="11"/>
  <c r="E5" i="11"/>
  <c r="D5" i="11"/>
  <c r="F5" i="11" s="1"/>
  <c r="T5" i="5" l="1"/>
  <c r="W5" i="5" s="1"/>
  <c r="M5" i="5"/>
  <c r="P5" i="5" s="1"/>
  <c r="K5" i="5"/>
  <c r="E5" i="5"/>
  <c r="D5" i="5"/>
  <c r="F5" i="5" s="1"/>
  <c r="W5" i="4" l="1"/>
  <c r="R5" i="4"/>
  <c r="N5" i="4"/>
  <c r="L5" i="4"/>
  <c r="M5" i="4" s="1"/>
  <c r="P5" i="4" s="1"/>
  <c r="K5" i="4"/>
  <c r="E5" i="4"/>
  <c r="D5" i="4"/>
  <c r="F5" i="4" s="1"/>
  <c r="T5" i="2" l="1"/>
  <c r="W5" i="2" s="1"/>
  <c r="M5" i="2"/>
  <c r="P5" i="2" s="1"/>
  <c r="K5" i="2"/>
  <c r="E5" i="2"/>
  <c r="D5" i="2"/>
  <c r="F5" i="2" s="1"/>
  <c r="T6" i="8" l="1"/>
  <c r="W6" i="8" s="1"/>
  <c r="M6" i="8"/>
  <c r="P6" i="8" s="1"/>
  <c r="K6" i="8"/>
  <c r="E6" i="8"/>
  <c r="D6" i="8"/>
  <c r="F6" i="8" s="1"/>
  <c r="T6" i="34" l="1"/>
  <c r="W6" i="34" s="1"/>
  <c r="M6" i="34"/>
  <c r="P6" i="34" s="1"/>
  <c r="K6" i="34"/>
  <c r="E6" i="34"/>
  <c r="D6" i="34"/>
  <c r="F6" i="34" s="1"/>
  <c r="T6" i="56" l="1"/>
  <c r="W6" i="56" s="1"/>
  <c r="M6" i="56"/>
  <c r="P6" i="56" s="1"/>
  <c r="K6" i="56"/>
  <c r="T6" i="55" l="1"/>
  <c r="W6" i="55" s="1"/>
  <c r="M6" i="55"/>
  <c r="P6" i="55" s="1"/>
  <c r="K6" i="55"/>
  <c r="E6" i="55"/>
  <c r="D6" i="55"/>
  <c r="F6" i="55" s="1"/>
  <c r="T6" i="53" l="1"/>
  <c r="W6" i="53" s="1"/>
  <c r="M6" i="53"/>
  <c r="P6" i="53" s="1"/>
  <c r="K6" i="53"/>
  <c r="E6" i="53"/>
  <c r="D6" i="53"/>
  <c r="F6" i="53" s="1"/>
  <c r="W6" i="51" l="1"/>
  <c r="O6" i="51"/>
  <c r="E6" i="51" s="1"/>
  <c r="L6" i="51"/>
  <c r="M6" i="51" s="1"/>
  <c r="K6" i="51"/>
  <c r="D6" i="51"/>
  <c r="P6" i="51" l="1"/>
  <c r="F6" i="51"/>
  <c r="T6" i="50" l="1"/>
  <c r="W6" i="50" s="1"/>
  <c r="M6" i="50"/>
  <c r="P6" i="50" s="1"/>
  <c r="K6" i="50"/>
  <c r="E6" i="50"/>
  <c r="D6" i="50"/>
  <c r="F6" i="50" s="1"/>
  <c r="T6" i="48" l="1"/>
  <c r="W6" i="48" s="1"/>
  <c r="S6" i="48"/>
  <c r="M6" i="48"/>
  <c r="P6" i="48" s="1"/>
  <c r="K6" i="48"/>
  <c r="E6" i="48"/>
  <c r="D6" i="48"/>
  <c r="F6" i="48" s="1"/>
  <c r="T6" i="57" l="1"/>
  <c r="W6" i="57" s="1"/>
  <c r="M6" i="57"/>
  <c r="P6" i="57" s="1"/>
  <c r="K6" i="57"/>
  <c r="E6" i="57"/>
  <c r="D6" i="57"/>
  <c r="F6" i="57" s="1"/>
  <c r="T6" i="45" l="1"/>
  <c r="W6" i="45" s="1"/>
  <c r="M6" i="45"/>
  <c r="P6" i="45" s="1"/>
  <c r="K6" i="45"/>
  <c r="E6" i="45"/>
  <c r="D6" i="45"/>
  <c r="F6" i="45" s="1"/>
  <c r="T6" i="40" l="1"/>
  <c r="W6" i="40" s="1"/>
  <c r="M6" i="40"/>
  <c r="P6" i="40" s="1"/>
  <c r="K6" i="40"/>
  <c r="E6" i="40"/>
  <c r="D6" i="40"/>
  <c r="F6" i="40" s="1"/>
  <c r="T6" i="39" l="1"/>
  <c r="W6" i="39" s="1"/>
  <c r="M6" i="39"/>
  <c r="P6" i="39" s="1"/>
  <c r="K6" i="39"/>
  <c r="E6" i="39"/>
  <c r="D6" i="39"/>
  <c r="F6" i="39" s="1"/>
  <c r="T6" i="38" l="1"/>
  <c r="W6" i="38" s="1"/>
  <c r="M6" i="38"/>
  <c r="P6" i="38" s="1"/>
  <c r="K6" i="38"/>
  <c r="E6" i="38"/>
  <c r="D6" i="38"/>
  <c r="F6" i="38" s="1"/>
  <c r="M6" i="62" l="1"/>
  <c r="P6" i="62" s="1"/>
  <c r="T6" i="36" l="1"/>
  <c r="W6" i="36" s="1"/>
  <c r="M6" i="36"/>
  <c r="P6" i="36" s="1"/>
  <c r="K6" i="36"/>
  <c r="E6" i="36"/>
  <c r="D6" i="36"/>
  <c r="F6" i="36" s="1"/>
  <c r="T6" i="64" l="1"/>
  <c r="W6" i="64" s="1"/>
  <c r="M6" i="64"/>
  <c r="K6" i="64"/>
  <c r="E6" i="64"/>
  <c r="D6" i="64"/>
  <c r="F6" i="64" s="1"/>
  <c r="T6" i="43" l="1"/>
  <c r="W6" i="43" s="1"/>
  <c r="M6" i="43"/>
  <c r="P6" i="43" s="1"/>
  <c r="K6" i="43"/>
  <c r="E6" i="43"/>
  <c r="D6" i="43"/>
  <c r="F6" i="43" s="1"/>
  <c r="T6" i="49" l="1"/>
  <c r="W6" i="49" s="1"/>
  <c r="M6" i="49"/>
  <c r="P6" i="49" s="1"/>
  <c r="K6" i="49"/>
  <c r="E6" i="49"/>
  <c r="D6" i="49"/>
  <c r="F6" i="49" s="1"/>
  <c r="T6" i="47" l="1"/>
  <c r="W6" i="47" s="1"/>
  <c r="M6" i="47"/>
  <c r="K6" i="47"/>
  <c r="D6" i="47"/>
  <c r="F6" i="47" l="1"/>
  <c r="E6" i="47"/>
  <c r="P6" i="47"/>
  <c r="T6" i="46"/>
  <c r="W6" i="46" s="1"/>
  <c r="M6" i="46"/>
  <c r="P6" i="46" s="1"/>
  <c r="K6" i="46"/>
  <c r="E6" i="46"/>
  <c r="D6" i="46"/>
  <c r="F6" i="46" s="1"/>
  <c r="W6" i="42" l="1"/>
  <c r="M6" i="42"/>
  <c r="P6" i="42" s="1"/>
  <c r="K6" i="42"/>
  <c r="E6" i="42"/>
  <c r="D6" i="42"/>
  <c r="F6" i="42" s="1"/>
  <c r="T6" i="41" l="1"/>
  <c r="W6" i="41" s="1"/>
  <c r="M6" i="41"/>
  <c r="P6" i="41" s="1"/>
  <c r="K6" i="41"/>
  <c r="E6" i="41"/>
  <c r="D6" i="41"/>
  <c r="F6" i="41" s="1"/>
  <c r="T6" i="65" l="1"/>
  <c r="M6" i="65"/>
  <c r="P6" i="65" s="1"/>
  <c r="K6" i="65"/>
  <c r="E6" i="65"/>
  <c r="D6" i="65"/>
  <c r="F6" i="65" s="1"/>
  <c r="T6" i="37" l="1"/>
  <c r="W6" i="37" s="1"/>
  <c r="M6" i="37"/>
  <c r="P6" i="37" s="1"/>
  <c r="K6" i="37"/>
  <c r="E6" i="37"/>
  <c r="D6" i="37"/>
  <c r="F6" i="37" s="1"/>
  <c r="T6" i="32" l="1"/>
  <c r="W6" i="32" s="1"/>
  <c r="M6" i="32"/>
  <c r="P6" i="32" s="1"/>
  <c r="K6" i="32"/>
  <c r="E6" i="32"/>
  <c r="D6" i="32"/>
  <c r="F6" i="32" s="1"/>
  <c r="T6" i="35" l="1"/>
  <c r="W6" i="35" s="1"/>
  <c r="M6" i="35"/>
  <c r="P6" i="35" s="1"/>
  <c r="K6" i="35"/>
  <c r="E6" i="35"/>
  <c r="D6" i="35"/>
  <c r="F6" i="35" s="1"/>
  <c r="T6" i="33" l="1"/>
  <c r="W6" i="33" s="1"/>
  <c r="M6" i="33"/>
  <c r="P6" i="33" s="1"/>
  <c r="K6" i="33"/>
  <c r="E6" i="33"/>
  <c r="D6" i="33"/>
  <c r="F6" i="33" s="1"/>
  <c r="T6" i="30" l="1"/>
  <c r="W6" i="30" s="1"/>
  <c r="M6" i="30"/>
  <c r="P6" i="30" s="1"/>
  <c r="K6" i="30"/>
  <c r="E6" i="30"/>
  <c r="D6" i="30"/>
  <c r="F6" i="30" s="1"/>
  <c r="V6" i="29" l="1"/>
  <c r="W6" i="29" s="1"/>
  <c r="P6" i="29"/>
  <c r="E6" i="29"/>
  <c r="D6" i="29"/>
  <c r="F6" i="29" s="1"/>
  <c r="U6" i="29" l="1"/>
  <c r="T6" i="28" l="1"/>
  <c r="W6" i="28" s="1"/>
  <c r="M6" i="28"/>
  <c r="P6" i="28" s="1"/>
  <c r="K6" i="28"/>
  <c r="E6" i="28"/>
  <c r="D6" i="28"/>
  <c r="F6" i="28" s="1"/>
  <c r="W7" i="27" l="1"/>
  <c r="W6" i="61" l="1"/>
  <c r="M6" i="61"/>
  <c r="P6" i="61" s="1"/>
  <c r="K6" i="61"/>
  <c r="E6" i="61"/>
  <c r="D6" i="61"/>
  <c r="F6" i="61" s="1"/>
  <c r="T6" i="26" l="1"/>
  <c r="W6" i="26" s="1"/>
  <c r="M6" i="26"/>
  <c r="P6" i="26" s="1"/>
  <c r="K6" i="26"/>
  <c r="E6" i="26"/>
  <c r="D6" i="26"/>
  <c r="F6" i="26" s="1"/>
  <c r="T6" i="25" l="1"/>
  <c r="W6" i="25" s="1"/>
  <c r="M6" i="25"/>
  <c r="P6" i="25" s="1"/>
  <c r="K6" i="25"/>
  <c r="E6" i="25"/>
  <c r="D6" i="25"/>
  <c r="F6" i="25" s="1"/>
  <c r="T6" i="24" l="1"/>
  <c r="W6" i="24" s="1"/>
  <c r="M6" i="24"/>
  <c r="P6" i="24" s="1"/>
  <c r="K6" i="24"/>
  <c r="E6" i="24"/>
  <c r="D6" i="24"/>
  <c r="F6" i="24" s="1"/>
  <c r="W6" i="23" l="1"/>
  <c r="M6" i="23"/>
  <c r="P6" i="23" s="1"/>
  <c r="K6" i="23"/>
  <c r="E6" i="23"/>
  <c r="D6" i="23"/>
  <c r="F6" i="23" s="1"/>
  <c r="T6" i="22" l="1"/>
  <c r="W6" i="22" s="1"/>
  <c r="M6" i="22"/>
  <c r="P6" i="22" s="1"/>
  <c r="K6" i="22"/>
  <c r="E6" i="22"/>
  <c r="D6" i="22"/>
  <c r="F6" i="22" s="1"/>
  <c r="W6" i="21" l="1"/>
  <c r="M6" i="21"/>
  <c r="P6" i="21" s="1"/>
  <c r="K6" i="21"/>
  <c r="E6" i="21"/>
  <c r="D6" i="21"/>
  <c r="F6" i="21" s="1"/>
  <c r="T6" i="20" l="1"/>
  <c r="W6" i="20" s="1"/>
  <c r="M6" i="20"/>
  <c r="P6" i="20" s="1"/>
  <c r="K6" i="20"/>
  <c r="E6" i="20"/>
  <c r="D6" i="20"/>
  <c r="F6" i="20" s="1"/>
  <c r="T6" i="66" l="1"/>
  <c r="M6" i="66"/>
  <c r="P6" i="66" s="1"/>
  <c r="K6" i="66"/>
  <c r="T6" i="19" l="1"/>
  <c r="W6" i="19" s="1"/>
  <c r="M6" i="19"/>
  <c r="P6" i="19" s="1"/>
  <c r="K6" i="19"/>
  <c r="E6" i="19"/>
  <c r="D6" i="19"/>
  <c r="F6" i="19" s="1"/>
  <c r="V6" i="18" l="1"/>
  <c r="T6" i="18" s="1"/>
  <c r="R6" i="18"/>
  <c r="Q6" i="18"/>
  <c r="L6" i="18"/>
  <c r="M6" i="18" s="1"/>
  <c r="P6" i="18" s="1"/>
  <c r="K6" i="18"/>
  <c r="E6" i="18"/>
  <c r="D6" i="18"/>
  <c r="F6" i="18" s="1"/>
  <c r="W6" i="18" l="1"/>
  <c r="M6" i="17" l="1"/>
  <c r="P6" i="17" s="1"/>
  <c r="V6" i="16" l="1"/>
  <c r="T6" i="16" s="1"/>
  <c r="R6" i="16"/>
  <c r="Q6" i="16"/>
  <c r="C5" i="68" s="1"/>
  <c r="L6" i="16"/>
  <c r="J6" i="16"/>
  <c r="I6" i="16"/>
  <c r="F6" i="16"/>
  <c r="E6" i="16"/>
  <c r="D6" i="16"/>
  <c r="K6" i="16" l="1"/>
  <c r="W6" i="16"/>
  <c r="M6" i="16"/>
  <c r="P6" i="16" s="1"/>
  <c r="T6" i="15"/>
  <c r="W6" i="15" s="1"/>
  <c r="M6" i="15"/>
  <c r="P6" i="15" s="1"/>
  <c r="K6" i="15"/>
  <c r="E6" i="15"/>
  <c r="D6" i="15"/>
  <c r="F6" i="15" s="1"/>
  <c r="T6" i="14" l="1"/>
  <c r="W6" i="14" s="1"/>
  <c r="M6" i="14"/>
  <c r="P6" i="14" s="1"/>
  <c r="K6" i="14"/>
  <c r="E6" i="14"/>
  <c r="D6" i="14"/>
  <c r="F6" i="14" s="1"/>
  <c r="V6" i="13" l="1"/>
  <c r="T6" i="13" s="1"/>
  <c r="M6" i="13"/>
  <c r="P6" i="13" s="1"/>
  <c r="K6" i="13"/>
  <c r="E6" i="13"/>
  <c r="D6" i="13"/>
  <c r="F6" i="13" s="1"/>
  <c r="W6" i="13" l="1"/>
  <c r="T6" i="60" l="1"/>
  <c r="W6" i="60" s="1"/>
  <c r="M6" i="60"/>
  <c r="P6" i="60" s="1"/>
  <c r="K6" i="60"/>
  <c r="E6" i="60"/>
  <c r="D6" i="60"/>
  <c r="F6" i="60" s="1"/>
  <c r="U6" i="12" l="1"/>
  <c r="T6" i="12" s="1"/>
  <c r="W6" i="12" s="1"/>
  <c r="S6" i="12"/>
  <c r="L6" i="12"/>
  <c r="M6" i="12" s="1"/>
  <c r="P6" i="12" s="1"/>
  <c r="K6" i="12"/>
  <c r="B4" i="68" s="1"/>
  <c r="E6" i="12"/>
  <c r="D6" i="12"/>
  <c r="F6" i="12" s="1"/>
  <c r="T6" i="11" l="1"/>
  <c r="W6" i="11" s="1"/>
  <c r="M6" i="11"/>
  <c r="P6" i="11" s="1"/>
  <c r="F6" i="11"/>
  <c r="E6" i="11"/>
  <c r="T6" i="10" l="1"/>
  <c r="W6" i="10" s="1"/>
  <c r="M6" i="10"/>
  <c r="P6" i="10" s="1"/>
  <c r="K6" i="10"/>
  <c r="D6" i="10"/>
  <c r="F6" i="10" s="1"/>
  <c r="E6" i="10" l="1"/>
  <c r="T6" i="59" l="1"/>
  <c r="W6" i="59" s="1"/>
  <c r="L6" i="59"/>
  <c r="M6" i="59" s="1"/>
  <c r="P6" i="59" s="1"/>
  <c r="K6" i="59"/>
  <c r="E6" i="59"/>
  <c r="D6" i="59"/>
  <c r="F6" i="59" s="1"/>
  <c r="T6" i="9" l="1"/>
  <c r="W6" i="9" s="1"/>
  <c r="M6" i="9"/>
  <c r="P6" i="9" s="1"/>
  <c r="K6" i="9"/>
  <c r="E6" i="9"/>
  <c r="D6" i="9"/>
  <c r="F6" i="9" s="1"/>
  <c r="W6" i="7" l="1"/>
  <c r="T6" i="7"/>
  <c r="M6" i="7"/>
  <c r="P6" i="7" s="1"/>
  <c r="K6" i="7"/>
  <c r="E6" i="7"/>
  <c r="D6" i="7"/>
  <c r="F6" i="7" s="1"/>
  <c r="U6" i="6" l="1"/>
  <c r="T6" i="6" s="1"/>
  <c r="W6" i="6" s="1"/>
  <c r="M6" i="6"/>
  <c r="P6" i="6" s="1"/>
  <c r="K6" i="6"/>
  <c r="E6" i="6"/>
  <c r="D6" i="6"/>
  <c r="F6" i="6" s="1"/>
  <c r="W6" i="5" l="1"/>
  <c r="T6" i="58" l="1"/>
  <c r="W6" i="58" s="1"/>
  <c r="M6" i="58"/>
  <c r="P6" i="58" s="1"/>
  <c r="K6" i="58"/>
  <c r="E6" i="58"/>
  <c r="D6" i="58"/>
  <c r="F6" i="58" s="1"/>
  <c r="T7" i="58" l="1"/>
  <c r="W7" i="58" s="1"/>
  <c r="M7" i="58"/>
  <c r="P7" i="58" s="1"/>
  <c r="K7" i="58"/>
  <c r="E7" i="58"/>
  <c r="D7" i="58"/>
  <c r="F7" i="58" s="1"/>
  <c r="T6" i="4" l="1"/>
  <c r="W6" i="4" s="1"/>
  <c r="M6" i="4"/>
  <c r="P6" i="4" s="1"/>
  <c r="K6" i="4"/>
  <c r="E6" i="4"/>
  <c r="D6" i="4"/>
  <c r="F6" i="4" s="1"/>
  <c r="T6" i="2" l="1"/>
  <c r="W6" i="2" s="1"/>
  <c r="M6" i="2"/>
  <c r="P6" i="2" s="1"/>
  <c r="K6" i="2"/>
  <c r="E6" i="2"/>
  <c r="D6" i="2"/>
  <c r="F6" i="2" s="1"/>
  <c r="T23" i="29" l="1"/>
  <c r="W23" i="29" s="1"/>
  <c r="O23" i="29"/>
  <c r="E23" i="29" s="1"/>
  <c r="L23" i="29"/>
  <c r="M23" i="29" s="1"/>
  <c r="K23" i="29"/>
  <c r="C23" i="29"/>
  <c r="D23" i="29" s="1"/>
  <c r="T22" i="29"/>
  <c r="W22" i="29" s="1"/>
  <c r="M22" i="29"/>
  <c r="P22" i="29" s="1"/>
  <c r="K22" i="29"/>
  <c r="E22" i="29"/>
  <c r="D22" i="29"/>
  <c r="F22" i="29" s="1"/>
  <c r="T21" i="29"/>
  <c r="W21" i="29" s="1"/>
  <c r="M21" i="29"/>
  <c r="P21" i="29" s="1"/>
  <c r="K21" i="29"/>
  <c r="E21" i="29"/>
  <c r="D21" i="29"/>
  <c r="F21" i="29" s="1"/>
  <c r="T20" i="29"/>
  <c r="W20" i="29" s="1"/>
  <c r="M20" i="29"/>
  <c r="P20" i="29" s="1"/>
  <c r="K20" i="29"/>
  <c r="E20" i="29"/>
  <c r="D20" i="29"/>
  <c r="F20" i="29" s="1"/>
  <c r="T19" i="29"/>
  <c r="W19" i="29" s="1"/>
  <c r="M19" i="29"/>
  <c r="P19" i="29" s="1"/>
  <c r="K19" i="29"/>
  <c r="E19" i="29"/>
  <c r="D19" i="29"/>
  <c r="F19" i="29" s="1"/>
  <c r="T18" i="29"/>
  <c r="W18" i="29" s="1"/>
  <c r="M18" i="29"/>
  <c r="P18" i="29" s="1"/>
  <c r="K18" i="29"/>
  <c r="E18" i="29"/>
  <c r="D18" i="29"/>
  <c r="F18" i="29" s="1"/>
  <c r="T17" i="29"/>
  <c r="W17" i="29" s="1"/>
  <c r="M17" i="29"/>
  <c r="P17" i="29" s="1"/>
  <c r="K17" i="29"/>
  <c r="E17" i="29"/>
  <c r="D17" i="29"/>
  <c r="F17" i="29" s="1"/>
  <c r="T16" i="29"/>
  <c r="W16" i="29" s="1"/>
  <c r="M16" i="29"/>
  <c r="P16" i="29" s="1"/>
  <c r="K16" i="29"/>
  <c r="E16" i="29"/>
  <c r="D16" i="29"/>
  <c r="F16" i="29" s="1"/>
  <c r="T15" i="29"/>
  <c r="W15" i="29" s="1"/>
  <c r="M15" i="29"/>
  <c r="P15" i="29" s="1"/>
  <c r="K15" i="29"/>
  <c r="E15" i="29"/>
  <c r="D15" i="29"/>
  <c r="F15" i="29" s="1"/>
  <c r="T14" i="29"/>
  <c r="W14" i="29" s="1"/>
  <c r="M14" i="29"/>
  <c r="P14" i="29" s="1"/>
  <c r="K14" i="29"/>
  <c r="E14" i="29"/>
  <c r="D14" i="29"/>
  <c r="F14" i="29" s="1"/>
  <c r="T13" i="29"/>
  <c r="W13" i="29" s="1"/>
  <c r="M13" i="29"/>
  <c r="P13" i="29" s="1"/>
  <c r="K13" i="29"/>
  <c r="E13" i="29"/>
  <c r="D13" i="29"/>
  <c r="F13" i="29" s="1"/>
  <c r="T12" i="29"/>
  <c r="W12" i="29" s="1"/>
  <c r="M12" i="29"/>
  <c r="P12" i="29" s="1"/>
  <c r="K12" i="29"/>
  <c r="E12" i="29"/>
  <c r="D12" i="29"/>
  <c r="F12" i="29" s="1"/>
  <c r="T11" i="29"/>
  <c r="W11" i="29" s="1"/>
  <c r="M11" i="29"/>
  <c r="P11" i="29" s="1"/>
  <c r="K11" i="29"/>
  <c r="E11" i="29"/>
  <c r="D11" i="29"/>
  <c r="F11" i="29" s="1"/>
  <c r="W10" i="29"/>
  <c r="P10" i="29"/>
  <c r="T9" i="29"/>
  <c r="W9" i="29" s="1"/>
  <c r="M9" i="29"/>
  <c r="P9" i="29" s="1"/>
  <c r="K9" i="29"/>
  <c r="E9" i="29"/>
  <c r="D9" i="29"/>
  <c r="F9" i="29" s="1"/>
  <c r="T8" i="29"/>
  <c r="W8" i="29" s="1"/>
  <c r="M8" i="29"/>
  <c r="P8" i="29" s="1"/>
  <c r="K8" i="29"/>
  <c r="E8" i="29"/>
  <c r="D8" i="29"/>
  <c r="F8" i="29" s="1"/>
  <c r="T7" i="29"/>
  <c r="W7" i="29" s="1"/>
  <c r="M7" i="29"/>
  <c r="P7" i="29" s="1"/>
  <c r="K7" i="29"/>
  <c r="E7" i="29"/>
  <c r="D7" i="29"/>
  <c r="F7" i="29" s="1"/>
  <c r="P23" i="29" l="1"/>
  <c r="F23" i="29"/>
  <c r="E19" i="23"/>
  <c r="T7" i="2" l="1"/>
  <c r="W7" i="2" s="1"/>
  <c r="M7" i="2"/>
  <c r="P7" i="2" s="1"/>
  <c r="K7" i="2"/>
  <c r="E7" i="2"/>
  <c r="D7" i="2"/>
  <c r="F7" i="2" s="1"/>
  <c r="T23" i="55" l="1"/>
  <c r="W23" i="55" s="1"/>
  <c r="O23" i="55"/>
  <c r="E23" i="55" s="1"/>
  <c r="L23" i="55"/>
  <c r="M23" i="55" s="1"/>
  <c r="K23" i="55"/>
  <c r="D23" i="55"/>
  <c r="T22" i="55"/>
  <c r="W22" i="55" s="1"/>
  <c r="M22" i="55"/>
  <c r="P22" i="55" s="1"/>
  <c r="K22" i="55"/>
  <c r="E22" i="55"/>
  <c r="D22" i="55"/>
  <c r="F22" i="55" s="1"/>
  <c r="T21" i="55"/>
  <c r="W21" i="55" s="1"/>
  <c r="M21" i="55"/>
  <c r="P21" i="55" s="1"/>
  <c r="K21" i="55"/>
  <c r="E21" i="55"/>
  <c r="D21" i="55"/>
  <c r="F21" i="55" s="1"/>
  <c r="T20" i="55"/>
  <c r="W20" i="55" s="1"/>
  <c r="M20" i="55"/>
  <c r="P20" i="55" s="1"/>
  <c r="K20" i="55"/>
  <c r="E20" i="55"/>
  <c r="D20" i="55"/>
  <c r="F20" i="55" s="1"/>
  <c r="T19" i="55"/>
  <c r="W19" i="55" s="1"/>
  <c r="M19" i="55"/>
  <c r="P19" i="55" s="1"/>
  <c r="K19" i="55"/>
  <c r="E19" i="55"/>
  <c r="D19" i="55"/>
  <c r="F19" i="55" s="1"/>
  <c r="T18" i="55"/>
  <c r="W18" i="55" s="1"/>
  <c r="M18" i="55"/>
  <c r="P18" i="55" s="1"/>
  <c r="K18" i="55"/>
  <c r="E18" i="55"/>
  <c r="D18" i="55"/>
  <c r="F18" i="55" s="1"/>
  <c r="T17" i="55"/>
  <c r="W17" i="55" s="1"/>
  <c r="M17" i="55"/>
  <c r="P17" i="55" s="1"/>
  <c r="K17" i="55"/>
  <c r="E17" i="55"/>
  <c r="D17" i="55"/>
  <c r="F17" i="55" s="1"/>
  <c r="T16" i="55"/>
  <c r="W16" i="55" s="1"/>
  <c r="M16" i="55"/>
  <c r="P16" i="55" s="1"/>
  <c r="K16" i="55"/>
  <c r="E16" i="55"/>
  <c r="D16" i="55"/>
  <c r="F16" i="55" s="1"/>
  <c r="T15" i="55"/>
  <c r="W15" i="55" s="1"/>
  <c r="M15" i="55"/>
  <c r="P15" i="55" s="1"/>
  <c r="K15" i="55"/>
  <c r="E15" i="55"/>
  <c r="D15" i="55"/>
  <c r="F15" i="55" s="1"/>
  <c r="T14" i="55"/>
  <c r="W14" i="55" s="1"/>
  <c r="M14" i="55"/>
  <c r="P14" i="55" s="1"/>
  <c r="K14" i="55"/>
  <c r="E14" i="55"/>
  <c r="D14" i="55"/>
  <c r="F14" i="55" s="1"/>
  <c r="T13" i="55"/>
  <c r="W13" i="55" s="1"/>
  <c r="M13" i="55"/>
  <c r="P13" i="55" s="1"/>
  <c r="K13" i="55"/>
  <c r="E13" i="55"/>
  <c r="D13" i="55"/>
  <c r="F13" i="55" s="1"/>
  <c r="T12" i="55"/>
  <c r="W12" i="55" s="1"/>
  <c r="M12" i="55"/>
  <c r="P12" i="55" s="1"/>
  <c r="K12" i="55"/>
  <c r="E12" i="55"/>
  <c r="D12" i="55"/>
  <c r="F12" i="55" s="1"/>
  <c r="T11" i="55"/>
  <c r="W11" i="55" s="1"/>
  <c r="M11" i="55"/>
  <c r="P11" i="55" s="1"/>
  <c r="K11" i="55"/>
  <c r="E11" i="55"/>
  <c r="D11" i="55"/>
  <c r="F11" i="55" s="1"/>
  <c r="W10" i="55"/>
  <c r="P10" i="55"/>
  <c r="T9" i="55"/>
  <c r="W9" i="55" s="1"/>
  <c r="M9" i="55"/>
  <c r="P9" i="55" s="1"/>
  <c r="K9" i="55"/>
  <c r="E9" i="55"/>
  <c r="D9" i="55"/>
  <c r="F9" i="55" s="1"/>
  <c r="T8" i="55"/>
  <c r="W8" i="55" s="1"/>
  <c r="M8" i="55"/>
  <c r="P8" i="55" s="1"/>
  <c r="K8" i="55"/>
  <c r="E8" i="55"/>
  <c r="D8" i="55"/>
  <c r="F8" i="55" s="1"/>
  <c r="T7" i="55"/>
  <c r="W7" i="55" s="1"/>
  <c r="M7" i="55"/>
  <c r="P7" i="55" s="1"/>
  <c r="K7" i="55"/>
  <c r="E7" i="55"/>
  <c r="D7" i="55"/>
  <c r="F7" i="55" s="1"/>
  <c r="P23" i="55" l="1"/>
  <c r="F23" i="55"/>
  <c r="T8" i="67"/>
  <c r="W8" i="67" s="1"/>
  <c r="L8" i="67"/>
  <c r="M8" i="67" s="1"/>
  <c r="P8" i="67" s="1"/>
  <c r="K8" i="67"/>
  <c r="E8" i="67"/>
  <c r="D8" i="67"/>
  <c r="F8" i="67" s="1"/>
  <c r="T7" i="67"/>
  <c r="W7" i="67" s="1"/>
  <c r="M7" i="67"/>
  <c r="P7" i="67" s="1"/>
  <c r="K7" i="67"/>
  <c r="E7" i="67"/>
  <c r="D7" i="67"/>
  <c r="F7" i="67" s="1"/>
  <c r="T23" i="51" l="1"/>
  <c r="W23" i="51" s="1"/>
  <c r="O23" i="51"/>
  <c r="E23" i="51" s="1"/>
  <c r="L23" i="51"/>
  <c r="M23" i="51" s="1"/>
  <c r="K23" i="51"/>
  <c r="D23" i="51"/>
  <c r="T22" i="51"/>
  <c r="W22" i="51" s="1"/>
  <c r="M22" i="51"/>
  <c r="P22" i="51" s="1"/>
  <c r="K22" i="51"/>
  <c r="E22" i="51"/>
  <c r="D22" i="51"/>
  <c r="F22" i="51" s="1"/>
  <c r="T21" i="51"/>
  <c r="W21" i="51" s="1"/>
  <c r="M21" i="51"/>
  <c r="P21" i="51" s="1"/>
  <c r="K21" i="51"/>
  <c r="E21" i="51"/>
  <c r="D21" i="51"/>
  <c r="F21" i="51" s="1"/>
  <c r="T20" i="51"/>
  <c r="W20" i="51" s="1"/>
  <c r="M20" i="51"/>
  <c r="P20" i="51" s="1"/>
  <c r="K20" i="51"/>
  <c r="E20" i="51"/>
  <c r="D20" i="51"/>
  <c r="F20" i="51" s="1"/>
  <c r="T19" i="51"/>
  <c r="W19" i="51" s="1"/>
  <c r="M19" i="51"/>
  <c r="P19" i="51" s="1"/>
  <c r="K19" i="51"/>
  <c r="E19" i="51"/>
  <c r="D19" i="51"/>
  <c r="F19" i="51" s="1"/>
  <c r="T18" i="51"/>
  <c r="W18" i="51" s="1"/>
  <c r="M18" i="51"/>
  <c r="P18" i="51" s="1"/>
  <c r="K18" i="51"/>
  <c r="E18" i="51"/>
  <c r="D18" i="51"/>
  <c r="F18" i="51" s="1"/>
  <c r="T17" i="51"/>
  <c r="W17" i="51" s="1"/>
  <c r="M17" i="51"/>
  <c r="P17" i="51" s="1"/>
  <c r="K17" i="51"/>
  <c r="E17" i="51"/>
  <c r="D17" i="51"/>
  <c r="F17" i="51" s="1"/>
  <c r="T16" i="51"/>
  <c r="W16" i="51" s="1"/>
  <c r="M16" i="51"/>
  <c r="P16" i="51" s="1"/>
  <c r="K16" i="51"/>
  <c r="E16" i="51"/>
  <c r="D16" i="51"/>
  <c r="F16" i="51" s="1"/>
  <c r="T15" i="51"/>
  <c r="W15" i="51" s="1"/>
  <c r="M15" i="51"/>
  <c r="P15" i="51" s="1"/>
  <c r="K15" i="51"/>
  <c r="E15" i="51"/>
  <c r="D15" i="51"/>
  <c r="F15" i="51" s="1"/>
  <c r="T14" i="51"/>
  <c r="W14" i="51" s="1"/>
  <c r="M14" i="51"/>
  <c r="P14" i="51" s="1"/>
  <c r="K14" i="51"/>
  <c r="E14" i="51"/>
  <c r="D14" i="51"/>
  <c r="F14" i="51" s="1"/>
  <c r="T13" i="51"/>
  <c r="W13" i="51" s="1"/>
  <c r="M13" i="51"/>
  <c r="P13" i="51" s="1"/>
  <c r="K13" i="51"/>
  <c r="E13" i="51"/>
  <c r="D13" i="51"/>
  <c r="F13" i="51" s="1"/>
  <c r="T12" i="51"/>
  <c r="W12" i="51" s="1"/>
  <c r="M12" i="51"/>
  <c r="P12" i="51" s="1"/>
  <c r="K12" i="51"/>
  <c r="E12" i="51"/>
  <c r="D12" i="51"/>
  <c r="F12" i="51" s="1"/>
  <c r="T11" i="51"/>
  <c r="W11" i="51" s="1"/>
  <c r="M11" i="51"/>
  <c r="P11" i="51" s="1"/>
  <c r="K11" i="51"/>
  <c r="E11" i="51"/>
  <c r="D11" i="51"/>
  <c r="F11" i="51" s="1"/>
  <c r="W10" i="51"/>
  <c r="P10" i="51"/>
  <c r="T9" i="51"/>
  <c r="W9" i="51" s="1"/>
  <c r="M9" i="51"/>
  <c r="P9" i="51" s="1"/>
  <c r="K9" i="51"/>
  <c r="E9" i="51"/>
  <c r="D9" i="51"/>
  <c r="F9" i="51" s="1"/>
  <c r="T8" i="51"/>
  <c r="W8" i="51" s="1"/>
  <c r="M8" i="51"/>
  <c r="P8" i="51" s="1"/>
  <c r="K8" i="51"/>
  <c r="E8" i="51"/>
  <c r="D8" i="51"/>
  <c r="F8" i="51" s="1"/>
  <c r="T7" i="51"/>
  <c r="W7" i="51" s="1"/>
  <c r="M7" i="51"/>
  <c r="P7" i="51" s="1"/>
  <c r="K7" i="51"/>
  <c r="E7" i="51"/>
  <c r="D7" i="51"/>
  <c r="F7" i="51" s="1"/>
  <c r="P23" i="51" l="1"/>
  <c r="F23" i="51"/>
  <c r="T23" i="48"/>
  <c r="W23" i="48" s="1"/>
  <c r="O23" i="48"/>
  <c r="E23" i="48" s="1"/>
  <c r="L23" i="48"/>
  <c r="M23" i="48" s="1"/>
  <c r="K23" i="48"/>
  <c r="D23" i="48"/>
  <c r="T22" i="48"/>
  <c r="W22" i="48" s="1"/>
  <c r="P22" i="48"/>
  <c r="K22" i="48"/>
  <c r="E22" i="48"/>
  <c r="D22" i="48"/>
  <c r="F22" i="48" s="1"/>
  <c r="T21" i="48"/>
  <c r="W21" i="48" s="1"/>
  <c r="M21" i="48"/>
  <c r="P21" i="48" s="1"/>
  <c r="K21" i="48"/>
  <c r="E21" i="48"/>
  <c r="D21" i="48"/>
  <c r="F21" i="48" s="1"/>
  <c r="T20" i="48"/>
  <c r="W20" i="48" s="1"/>
  <c r="M20" i="48"/>
  <c r="P20" i="48" s="1"/>
  <c r="K20" i="48"/>
  <c r="E20" i="48"/>
  <c r="D20" i="48"/>
  <c r="F20" i="48" s="1"/>
  <c r="T19" i="48"/>
  <c r="W19" i="48" s="1"/>
  <c r="M19" i="48"/>
  <c r="P19" i="48" s="1"/>
  <c r="K19" i="48"/>
  <c r="E19" i="48"/>
  <c r="D19" i="48"/>
  <c r="F19" i="48" s="1"/>
  <c r="T18" i="48"/>
  <c r="W18" i="48" s="1"/>
  <c r="M18" i="48"/>
  <c r="P18" i="48" s="1"/>
  <c r="K18" i="48"/>
  <c r="E18" i="48"/>
  <c r="D18" i="48"/>
  <c r="F18" i="48" s="1"/>
  <c r="V17" i="48"/>
  <c r="S17" i="48"/>
  <c r="M17" i="48"/>
  <c r="P17" i="48" s="1"/>
  <c r="K17" i="48"/>
  <c r="E17" i="48"/>
  <c r="D17" i="48"/>
  <c r="F17" i="48" s="1"/>
  <c r="V16" i="48"/>
  <c r="T16" i="48" s="1"/>
  <c r="S16" i="48"/>
  <c r="M16" i="48"/>
  <c r="P16" i="48" s="1"/>
  <c r="K16" i="48"/>
  <c r="E16" i="48"/>
  <c r="D16" i="48"/>
  <c r="F16" i="48" s="1"/>
  <c r="V15" i="48"/>
  <c r="T15" i="48" s="1"/>
  <c r="S15" i="48"/>
  <c r="M15" i="48"/>
  <c r="P15" i="48" s="1"/>
  <c r="K15" i="48"/>
  <c r="E15" i="48"/>
  <c r="D15" i="48"/>
  <c r="F15" i="48" s="1"/>
  <c r="V14" i="48"/>
  <c r="T14" i="48" s="1"/>
  <c r="W14" i="48" s="1"/>
  <c r="S14" i="48"/>
  <c r="M14" i="48"/>
  <c r="P14" i="48" s="1"/>
  <c r="K14" i="48"/>
  <c r="E14" i="48"/>
  <c r="D14" i="48"/>
  <c r="F14" i="48" s="1"/>
  <c r="V13" i="48"/>
  <c r="T13" i="48" s="1"/>
  <c r="S13" i="48"/>
  <c r="M13" i="48"/>
  <c r="P13" i="48" s="1"/>
  <c r="K13" i="48"/>
  <c r="E13" i="48"/>
  <c r="D13" i="48"/>
  <c r="F13" i="48" s="1"/>
  <c r="V12" i="48"/>
  <c r="T12" i="48" s="1"/>
  <c r="W12" i="48" s="1"/>
  <c r="S12" i="48"/>
  <c r="M12" i="48"/>
  <c r="P12" i="48" s="1"/>
  <c r="K12" i="48"/>
  <c r="E12" i="48"/>
  <c r="D12" i="48"/>
  <c r="F12" i="48" s="1"/>
  <c r="V11" i="48"/>
  <c r="T11" i="48" s="1"/>
  <c r="S11" i="48"/>
  <c r="M11" i="48"/>
  <c r="P11" i="48" s="1"/>
  <c r="K11" i="48"/>
  <c r="E11" i="48"/>
  <c r="D11" i="48"/>
  <c r="F11" i="48" s="1"/>
  <c r="V10" i="48"/>
  <c r="W10" i="48" s="1"/>
  <c r="S10" i="48"/>
  <c r="P10" i="48"/>
  <c r="V9" i="48"/>
  <c r="T9" i="48" s="1"/>
  <c r="S9" i="48"/>
  <c r="M9" i="48"/>
  <c r="P9" i="48" s="1"/>
  <c r="K9" i="48"/>
  <c r="E9" i="48"/>
  <c r="D9" i="48"/>
  <c r="F9" i="48" s="1"/>
  <c r="V8" i="48"/>
  <c r="S8" i="48"/>
  <c r="M8" i="48"/>
  <c r="P8" i="48" s="1"/>
  <c r="K8" i="48"/>
  <c r="E8" i="48"/>
  <c r="D8" i="48"/>
  <c r="F8" i="48" s="1"/>
  <c r="T7" i="48"/>
  <c r="W7" i="48" s="1"/>
  <c r="S7" i="48"/>
  <c r="M7" i="48"/>
  <c r="P7" i="48" s="1"/>
  <c r="K7" i="48"/>
  <c r="E7" i="48"/>
  <c r="D7" i="48"/>
  <c r="F7" i="48" s="1"/>
  <c r="P23" i="48" l="1"/>
  <c r="W9" i="48"/>
  <c r="W11" i="48"/>
  <c r="W16" i="48"/>
  <c r="W13" i="48"/>
  <c r="T8" i="48"/>
  <c r="W8" i="48" s="1"/>
  <c r="W15" i="48"/>
  <c r="T17" i="48"/>
  <c r="W17" i="48" s="1"/>
  <c r="F23" i="48"/>
  <c r="T23" i="45" l="1"/>
  <c r="W23" i="45" s="1"/>
  <c r="O23" i="45"/>
  <c r="E23" i="45" s="1"/>
  <c r="M23" i="45"/>
  <c r="K23" i="45"/>
  <c r="D23" i="45"/>
  <c r="T22" i="45"/>
  <c r="W22" i="45" s="1"/>
  <c r="M22" i="45"/>
  <c r="P22" i="45" s="1"/>
  <c r="K22" i="45"/>
  <c r="E22" i="45"/>
  <c r="D22" i="45"/>
  <c r="F22" i="45" s="1"/>
  <c r="T21" i="45"/>
  <c r="W21" i="45" s="1"/>
  <c r="M21" i="45"/>
  <c r="P21" i="45" s="1"/>
  <c r="K21" i="45"/>
  <c r="E21" i="45"/>
  <c r="D21" i="45"/>
  <c r="F21" i="45" s="1"/>
  <c r="T20" i="45"/>
  <c r="W20" i="45" s="1"/>
  <c r="M20" i="45"/>
  <c r="P20" i="45" s="1"/>
  <c r="K20" i="45"/>
  <c r="E20" i="45"/>
  <c r="D20" i="45"/>
  <c r="F20" i="45" s="1"/>
  <c r="T19" i="45"/>
  <c r="W19" i="45" s="1"/>
  <c r="M19" i="45"/>
  <c r="P19" i="45" s="1"/>
  <c r="K19" i="45"/>
  <c r="E19" i="45"/>
  <c r="D19" i="45"/>
  <c r="F19" i="45" s="1"/>
  <c r="T18" i="45"/>
  <c r="W18" i="45" s="1"/>
  <c r="M18" i="45"/>
  <c r="P18" i="45" s="1"/>
  <c r="K18" i="45"/>
  <c r="E18" i="45"/>
  <c r="D18" i="45"/>
  <c r="F18" i="45" s="1"/>
  <c r="T17" i="45"/>
  <c r="W17" i="45" s="1"/>
  <c r="M17" i="45"/>
  <c r="P17" i="45" s="1"/>
  <c r="K17" i="45"/>
  <c r="E17" i="45"/>
  <c r="D17" i="45"/>
  <c r="F17" i="45" s="1"/>
  <c r="T16" i="45"/>
  <c r="W16" i="45" s="1"/>
  <c r="M16" i="45"/>
  <c r="P16" i="45" s="1"/>
  <c r="K16" i="45"/>
  <c r="E16" i="45"/>
  <c r="D16" i="45"/>
  <c r="F16" i="45" s="1"/>
  <c r="T15" i="45"/>
  <c r="W15" i="45" s="1"/>
  <c r="M15" i="45"/>
  <c r="P15" i="45" s="1"/>
  <c r="K15" i="45"/>
  <c r="E15" i="45"/>
  <c r="D15" i="45"/>
  <c r="F15" i="45" s="1"/>
  <c r="T14" i="45"/>
  <c r="W14" i="45" s="1"/>
  <c r="M14" i="45"/>
  <c r="P14" i="45" s="1"/>
  <c r="K14" i="45"/>
  <c r="E14" i="45"/>
  <c r="D14" i="45"/>
  <c r="F14" i="45" s="1"/>
  <c r="T13" i="45"/>
  <c r="W13" i="45" s="1"/>
  <c r="M13" i="45"/>
  <c r="P13" i="45" s="1"/>
  <c r="K13" i="45"/>
  <c r="E13" i="45"/>
  <c r="D13" i="45"/>
  <c r="F13" i="45" s="1"/>
  <c r="T12" i="45"/>
  <c r="W12" i="45" s="1"/>
  <c r="M12" i="45"/>
  <c r="P12" i="45" s="1"/>
  <c r="K12" i="45"/>
  <c r="E12" i="45"/>
  <c r="D12" i="45"/>
  <c r="F12" i="45" s="1"/>
  <c r="T11" i="45"/>
  <c r="W11" i="45" s="1"/>
  <c r="M11" i="45"/>
  <c r="P11" i="45" s="1"/>
  <c r="K11" i="45"/>
  <c r="E11" i="45"/>
  <c r="D11" i="45"/>
  <c r="F11" i="45" s="1"/>
  <c r="W10" i="45"/>
  <c r="P10" i="45"/>
  <c r="T9" i="45"/>
  <c r="W9" i="45" s="1"/>
  <c r="M9" i="45"/>
  <c r="P9" i="45" s="1"/>
  <c r="K9" i="45"/>
  <c r="E9" i="45"/>
  <c r="D9" i="45"/>
  <c r="F9" i="45" s="1"/>
  <c r="T8" i="45"/>
  <c r="W8" i="45" s="1"/>
  <c r="M8" i="45"/>
  <c r="P8" i="45" s="1"/>
  <c r="K8" i="45"/>
  <c r="E8" i="45"/>
  <c r="D8" i="45"/>
  <c r="F8" i="45" s="1"/>
  <c r="T7" i="45"/>
  <c r="W7" i="45" s="1"/>
  <c r="M7" i="45"/>
  <c r="P7" i="45" s="1"/>
  <c r="K7" i="45"/>
  <c r="E7" i="45"/>
  <c r="D7" i="45"/>
  <c r="F7" i="45" s="1"/>
  <c r="F23" i="45" l="1"/>
  <c r="P23" i="45"/>
  <c r="T23" i="38"/>
  <c r="W23" i="38" s="1"/>
  <c r="O23" i="38"/>
  <c r="E23" i="38" s="1"/>
  <c r="L23" i="38"/>
  <c r="M23" i="38" s="1"/>
  <c r="K23" i="38"/>
  <c r="C23" i="38"/>
  <c r="D23" i="38" s="1"/>
  <c r="T22" i="38"/>
  <c r="W22" i="38" s="1"/>
  <c r="O22" i="38"/>
  <c r="M22" i="38"/>
  <c r="K22" i="38"/>
  <c r="C22" i="38"/>
  <c r="D22" i="38" s="1"/>
  <c r="T21" i="38"/>
  <c r="W21" i="38" s="1"/>
  <c r="M21" i="38"/>
  <c r="P21" i="38" s="1"/>
  <c r="K21" i="38"/>
  <c r="E21" i="38"/>
  <c r="D21" i="38"/>
  <c r="F21" i="38" s="1"/>
  <c r="T20" i="38"/>
  <c r="W20" i="38" s="1"/>
  <c r="M20" i="38"/>
  <c r="P20" i="38" s="1"/>
  <c r="K20" i="38"/>
  <c r="E20" i="38"/>
  <c r="D20" i="38"/>
  <c r="F20" i="38" s="1"/>
  <c r="T19" i="38"/>
  <c r="W19" i="38" s="1"/>
  <c r="M19" i="38"/>
  <c r="P19" i="38" s="1"/>
  <c r="K19" i="38"/>
  <c r="E19" i="38"/>
  <c r="D19" i="38"/>
  <c r="F19" i="38" s="1"/>
  <c r="T18" i="38"/>
  <c r="W18" i="38" s="1"/>
  <c r="M18" i="38"/>
  <c r="P18" i="38" s="1"/>
  <c r="K18" i="38"/>
  <c r="E18" i="38"/>
  <c r="D18" i="38"/>
  <c r="F18" i="38" s="1"/>
  <c r="T17" i="38"/>
  <c r="W17" i="38" s="1"/>
  <c r="M17" i="38"/>
  <c r="P17" i="38" s="1"/>
  <c r="K17" i="38"/>
  <c r="E17" i="38"/>
  <c r="D17" i="38"/>
  <c r="F17" i="38" s="1"/>
  <c r="T16" i="38"/>
  <c r="W16" i="38" s="1"/>
  <c r="M16" i="38"/>
  <c r="P16" i="38" s="1"/>
  <c r="K16" i="38"/>
  <c r="E16" i="38"/>
  <c r="D16" i="38"/>
  <c r="F16" i="38" s="1"/>
  <c r="T15" i="38"/>
  <c r="W15" i="38" s="1"/>
  <c r="M15" i="38"/>
  <c r="P15" i="38" s="1"/>
  <c r="K15" i="38"/>
  <c r="E15" i="38"/>
  <c r="D15" i="38"/>
  <c r="F15" i="38" s="1"/>
  <c r="T14" i="38"/>
  <c r="W14" i="38" s="1"/>
  <c r="M14" i="38"/>
  <c r="P14" i="38" s="1"/>
  <c r="K14" i="38"/>
  <c r="E14" i="38"/>
  <c r="D14" i="38"/>
  <c r="F14" i="38" s="1"/>
  <c r="T13" i="38"/>
  <c r="W13" i="38" s="1"/>
  <c r="M13" i="38"/>
  <c r="P13" i="38" s="1"/>
  <c r="K13" i="38"/>
  <c r="E13" i="38"/>
  <c r="D13" i="38"/>
  <c r="F13" i="38" s="1"/>
  <c r="T12" i="38"/>
  <c r="W12" i="38" s="1"/>
  <c r="M12" i="38"/>
  <c r="P12" i="38" s="1"/>
  <c r="K12" i="38"/>
  <c r="E12" i="38"/>
  <c r="D12" i="38"/>
  <c r="F12" i="38" s="1"/>
  <c r="W11" i="38"/>
  <c r="P11" i="38"/>
  <c r="W10" i="38"/>
  <c r="P10" i="38"/>
  <c r="T9" i="38"/>
  <c r="W9" i="38" s="1"/>
  <c r="M9" i="38"/>
  <c r="P9" i="38" s="1"/>
  <c r="K9" i="38"/>
  <c r="E9" i="38"/>
  <c r="D9" i="38"/>
  <c r="F9" i="38" s="1"/>
  <c r="T8" i="38"/>
  <c r="W8" i="38" s="1"/>
  <c r="M8" i="38"/>
  <c r="P8" i="38" s="1"/>
  <c r="K8" i="38"/>
  <c r="E8" i="38"/>
  <c r="D8" i="38"/>
  <c r="F8" i="38" s="1"/>
  <c r="U7" i="38"/>
  <c r="T7" i="38" s="1"/>
  <c r="W7" i="38" s="1"/>
  <c r="M7" i="38"/>
  <c r="P7" i="38" s="1"/>
  <c r="K7" i="38"/>
  <c r="E7" i="38"/>
  <c r="D7" i="38"/>
  <c r="F7" i="38" s="1"/>
  <c r="P22" i="38" l="1"/>
  <c r="F22" i="38"/>
  <c r="P23" i="38"/>
  <c r="F23" i="38"/>
  <c r="E22" i="38"/>
  <c r="T23" i="36" l="1"/>
  <c r="W23" i="36" s="1"/>
  <c r="M23" i="36"/>
  <c r="P23" i="36" s="1"/>
  <c r="K23" i="36"/>
  <c r="E23" i="36"/>
  <c r="C23" i="36"/>
  <c r="D23" i="36" s="1"/>
  <c r="F23" i="36" s="1"/>
  <c r="T22" i="36"/>
  <c r="W22" i="36" s="1"/>
  <c r="M22" i="36"/>
  <c r="P22" i="36" s="1"/>
  <c r="K22" i="36"/>
  <c r="E22" i="36"/>
  <c r="D22" i="36"/>
  <c r="F22" i="36" s="1"/>
  <c r="T21" i="36"/>
  <c r="W21" i="36" s="1"/>
  <c r="M21" i="36"/>
  <c r="P21" i="36" s="1"/>
  <c r="K21" i="36"/>
  <c r="E21" i="36"/>
  <c r="D21" i="36"/>
  <c r="F21" i="36" s="1"/>
  <c r="T20" i="36"/>
  <c r="W20" i="36" s="1"/>
  <c r="M20" i="36"/>
  <c r="P20" i="36" s="1"/>
  <c r="K20" i="36"/>
  <c r="E20" i="36"/>
  <c r="D20" i="36"/>
  <c r="F20" i="36" s="1"/>
  <c r="T19" i="36"/>
  <c r="W19" i="36" s="1"/>
  <c r="M19" i="36"/>
  <c r="P19" i="36" s="1"/>
  <c r="K19" i="36"/>
  <c r="E19" i="36"/>
  <c r="D19" i="36"/>
  <c r="F19" i="36" s="1"/>
  <c r="T18" i="36"/>
  <c r="W18" i="36" s="1"/>
  <c r="M18" i="36"/>
  <c r="P18" i="36" s="1"/>
  <c r="K18" i="36"/>
  <c r="E18" i="36"/>
  <c r="D18" i="36"/>
  <c r="F18" i="36" s="1"/>
  <c r="T17" i="36"/>
  <c r="W17" i="36" s="1"/>
  <c r="M17" i="36"/>
  <c r="P17" i="36" s="1"/>
  <c r="K17" i="36"/>
  <c r="E17" i="36"/>
  <c r="D17" i="36"/>
  <c r="F17" i="36" s="1"/>
  <c r="T16" i="36"/>
  <c r="W16" i="36" s="1"/>
  <c r="M16" i="36"/>
  <c r="P16" i="36" s="1"/>
  <c r="K16" i="36"/>
  <c r="E16" i="36"/>
  <c r="D16" i="36"/>
  <c r="F16" i="36" s="1"/>
  <c r="T15" i="36"/>
  <c r="W15" i="36" s="1"/>
  <c r="M15" i="36"/>
  <c r="P15" i="36" s="1"/>
  <c r="K15" i="36"/>
  <c r="E15" i="36"/>
  <c r="D15" i="36"/>
  <c r="F15" i="36" s="1"/>
  <c r="T14" i="36"/>
  <c r="W14" i="36" s="1"/>
  <c r="M14" i="36"/>
  <c r="P14" i="36" s="1"/>
  <c r="K14" i="36"/>
  <c r="E14" i="36"/>
  <c r="D14" i="36"/>
  <c r="F14" i="36" s="1"/>
  <c r="T13" i="36"/>
  <c r="W13" i="36" s="1"/>
  <c r="M13" i="36"/>
  <c r="P13" i="36" s="1"/>
  <c r="K13" i="36"/>
  <c r="E13" i="36"/>
  <c r="D13" i="36"/>
  <c r="F13" i="36" s="1"/>
  <c r="T12" i="36"/>
  <c r="W12" i="36" s="1"/>
  <c r="M12" i="36"/>
  <c r="P12" i="36" s="1"/>
  <c r="K12" i="36"/>
  <c r="E12" i="36"/>
  <c r="D12" i="36"/>
  <c r="F12" i="36" s="1"/>
  <c r="W11" i="36"/>
  <c r="P11" i="36"/>
  <c r="T10" i="36"/>
  <c r="W10" i="36" s="1"/>
  <c r="P10" i="36"/>
  <c r="T9" i="36"/>
  <c r="W9" i="36" s="1"/>
  <c r="M9" i="36"/>
  <c r="P9" i="36" s="1"/>
  <c r="K9" i="36"/>
  <c r="E9" i="36"/>
  <c r="D9" i="36"/>
  <c r="F9" i="36" s="1"/>
  <c r="T8" i="36"/>
  <c r="W8" i="36" s="1"/>
  <c r="M8" i="36"/>
  <c r="P8" i="36" s="1"/>
  <c r="K8" i="36"/>
  <c r="E8" i="36"/>
  <c r="D8" i="36"/>
  <c r="F8" i="36" s="1"/>
  <c r="T7" i="36"/>
  <c r="W7" i="36" s="1"/>
  <c r="M7" i="36"/>
  <c r="P7" i="36" s="1"/>
  <c r="K7" i="36"/>
  <c r="E7" i="36"/>
  <c r="D7" i="36"/>
  <c r="F7" i="36" s="1"/>
  <c r="T23" i="35" l="1"/>
  <c r="W23" i="35" s="1"/>
  <c r="O23" i="35"/>
  <c r="E23" i="35" s="1"/>
  <c r="L23" i="35"/>
  <c r="M23" i="35" s="1"/>
  <c r="K23" i="35"/>
  <c r="C23" i="35"/>
  <c r="D23" i="35" s="1"/>
  <c r="T22" i="35"/>
  <c r="W22" i="35" s="1"/>
  <c r="M22" i="35"/>
  <c r="P22" i="35" s="1"/>
  <c r="K22" i="35"/>
  <c r="E22" i="35"/>
  <c r="D22" i="35"/>
  <c r="F22" i="35" s="1"/>
  <c r="T21" i="35"/>
  <c r="W21" i="35" s="1"/>
  <c r="M21" i="35"/>
  <c r="P21" i="35" s="1"/>
  <c r="K21" i="35"/>
  <c r="E21" i="35"/>
  <c r="D21" i="35"/>
  <c r="F21" i="35" s="1"/>
  <c r="T20" i="35"/>
  <c r="W20" i="35" s="1"/>
  <c r="M20" i="35"/>
  <c r="P20" i="35" s="1"/>
  <c r="K20" i="35"/>
  <c r="E20" i="35"/>
  <c r="D20" i="35"/>
  <c r="F20" i="35" s="1"/>
  <c r="T19" i="35"/>
  <c r="W19" i="35" s="1"/>
  <c r="M19" i="35"/>
  <c r="P19" i="35" s="1"/>
  <c r="K19" i="35"/>
  <c r="E19" i="35"/>
  <c r="D19" i="35"/>
  <c r="F19" i="35" s="1"/>
  <c r="T18" i="35"/>
  <c r="W18" i="35" s="1"/>
  <c r="M18" i="35"/>
  <c r="P18" i="35" s="1"/>
  <c r="K18" i="35"/>
  <c r="E18" i="35"/>
  <c r="D18" i="35"/>
  <c r="F18" i="35" s="1"/>
  <c r="T17" i="35"/>
  <c r="W17" i="35" s="1"/>
  <c r="M17" i="35"/>
  <c r="P17" i="35" s="1"/>
  <c r="K17" i="35"/>
  <c r="E17" i="35"/>
  <c r="D17" i="35"/>
  <c r="F17" i="35" s="1"/>
  <c r="T16" i="35"/>
  <c r="W16" i="35" s="1"/>
  <c r="M16" i="35"/>
  <c r="P16" i="35" s="1"/>
  <c r="K16" i="35"/>
  <c r="E16" i="35"/>
  <c r="D16" i="35"/>
  <c r="F16" i="35" s="1"/>
  <c r="T15" i="35"/>
  <c r="W15" i="35" s="1"/>
  <c r="M15" i="35"/>
  <c r="P15" i="35" s="1"/>
  <c r="K15" i="35"/>
  <c r="E15" i="35"/>
  <c r="D15" i="35"/>
  <c r="F15" i="35" s="1"/>
  <c r="T14" i="35"/>
  <c r="W14" i="35" s="1"/>
  <c r="M14" i="35"/>
  <c r="P14" i="35" s="1"/>
  <c r="K14" i="35"/>
  <c r="E14" i="35"/>
  <c r="D14" i="35"/>
  <c r="F14" i="35" s="1"/>
  <c r="T13" i="35"/>
  <c r="W13" i="35" s="1"/>
  <c r="M13" i="35"/>
  <c r="P13" i="35" s="1"/>
  <c r="K13" i="35"/>
  <c r="E13" i="35"/>
  <c r="D13" i="35"/>
  <c r="F13" i="35" s="1"/>
  <c r="T12" i="35"/>
  <c r="W12" i="35" s="1"/>
  <c r="M12" i="35"/>
  <c r="P12" i="35" s="1"/>
  <c r="K12" i="35"/>
  <c r="E12" i="35"/>
  <c r="D12" i="35"/>
  <c r="F12" i="35" s="1"/>
  <c r="W11" i="35"/>
  <c r="P11" i="35"/>
  <c r="E11" i="35"/>
  <c r="W10" i="35"/>
  <c r="P10" i="35"/>
  <c r="E10" i="35"/>
  <c r="T9" i="35"/>
  <c r="W9" i="35" s="1"/>
  <c r="M9" i="35"/>
  <c r="P9" i="35" s="1"/>
  <c r="K9" i="35"/>
  <c r="E9" i="35"/>
  <c r="D9" i="35"/>
  <c r="F9" i="35" s="1"/>
  <c r="T8" i="35"/>
  <c r="W8" i="35" s="1"/>
  <c r="L8" i="35"/>
  <c r="M8" i="35" s="1"/>
  <c r="P8" i="35" s="1"/>
  <c r="K8" i="35"/>
  <c r="E8" i="35"/>
  <c r="D8" i="35"/>
  <c r="F8" i="35" s="1"/>
  <c r="T7" i="35"/>
  <c r="W7" i="35" s="1"/>
  <c r="M7" i="35"/>
  <c r="P7" i="35" s="1"/>
  <c r="K7" i="35"/>
  <c r="E7" i="35"/>
  <c r="D7" i="35"/>
  <c r="F7" i="35" s="1"/>
  <c r="P23" i="35" l="1"/>
  <c r="F23" i="35"/>
  <c r="T18" i="34"/>
  <c r="W18" i="34" s="1"/>
  <c r="M18" i="34"/>
  <c r="K18" i="34"/>
  <c r="E18" i="34"/>
  <c r="D18" i="34"/>
  <c r="F18" i="34" s="1"/>
  <c r="T17" i="34"/>
  <c r="W17" i="34" s="1"/>
  <c r="M17" i="34"/>
  <c r="K17" i="34"/>
  <c r="F17" i="34"/>
  <c r="E17" i="34"/>
  <c r="D17" i="34"/>
  <c r="T16" i="34"/>
  <c r="W16" i="34" s="1"/>
  <c r="M16" i="34"/>
  <c r="P16" i="34" s="1"/>
  <c r="K16" i="34"/>
  <c r="E16" i="34"/>
  <c r="D16" i="34"/>
  <c r="F16" i="34" s="1"/>
  <c r="T15" i="34"/>
  <c r="W15" i="34" s="1"/>
  <c r="M15" i="34"/>
  <c r="P15" i="34" s="1"/>
  <c r="K15" i="34"/>
  <c r="E15" i="34"/>
  <c r="D15" i="34"/>
  <c r="F15" i="34" s="1"/>
  <c r="T14" i="34"/>
  <c r="W14" i="34" s="1"/>
  <c r="M14" i="34"/>
  <c r="P14" i="34" s="1"/>
  <c r="K14" i="34"/>
  <c r="E14" i="34"/>
  <c r="D14" i="34"/>
  <c r="F14" i="34" s="1"/>
  <c r="T13" i="34"/>
  <c r="W13" i="34" s="1"/>
  <c r="M13" i="34"/>
  <c r="P13" i="34" s="1"/>
  <c r="K13" i="34"/>
  <c r="E13" i="34"/>
  <c r="D13" i="34"/>
  <c r="F13" i="34" s="1"/>
  <c r="W12" i="34"/>
  <c r="P12" i="34"/>
  <c r="T11" i="34"/>
  <c r="W11" i="34" s="1"/>
  <c r="M11" i="34"/>
  <c r="P11" i="34" s="1"/>
  <c r="K11" i="34"/>
  <c r="E11" i="34"/>
  <c r="D11" i="34"/>
  <c r="F11" i="34" s="1"/>
  <c r="W10" i="34"/>
  <c r="P10" i="34"/>
  <c r="T9" i="34"/>
  <c r="W9" i="34" s="1"/>
  <c r="M9" i="34"/>
  <c r="P9" i="34" s="1"/>
  <c r="K9" i="34"/>
  <c r="E9" i="34"/>
  <c r="D9" i="34"/>
  <c r="F9" i="34" s="1"/>
  <c r="T8" i="34"/>
  <c r="W8" i="34" s="1"/>
  <c r="M8" i="34"/>
  <c r="P8" i="34" s="1"/>
  <c r="K8" i="34"/>
  <c r="H8" i="34"/>
  <c r="E8" i="34"/>
  <c r="C8" i="34"/>
  <c r="D8" i="34" s="1"/>
  <c r="F8" i="34" s="1"/>
  <c r="U7" i="34"/>
  <c r="T7" i="34" s="1"/>
  <c r="W7" i="34" s="1"/>
  <c r="M7" i="34"/>
  <c r="P7" i="34" s="1"/>
  <c r="K7" i="34"/>
  <c r="E7" i="34"/>
  <c r="D7" i="34"/>
  <c r="F7" i="34" s="1"/>
  <c r="T23" i="33" l="1"/>
  <c r="W23" i="33" s="1"/>
  <c r="O23" i="33"/>
  <c r="E23" i="33" s="1"/>
  <c r="L23" i="33"/>
  <c r="M23" i="33" s="1"/>
  <c r="K23" i="33"/>
  <c r="D23" i="33"/>
  <c r="T22" i="33"/>
  <c r="W22" i="33" s="1"/>
  <c r="L22" i="33"/>
  <c r="M22" i="33" s="1"/>
  <c r="P22" i="33" s="1"/>
  <c r="K22" i="33"/>
  <c r="E22" i="33"/>
  <c r="D22" i="33"/>
  <c r="F22" i="33" s="1"/>
  <c r="T21" i="33"/>
  <c r="W21" i="33" s="1"/>
  <c r="M21" i="33"/>
  <c r="P21" i="33" s="1"/>
  <c r="K21" i="33"/>
  <c r="E21" i="33"/>
  <c r="D21" i="33"/>
  <c r="F21" i="33" s="1"/>
  <c r="T20" i="33"/>
  <c r="W20" i="33" s="1"/>
  <c r="M20" i="33"/>
  <c r="P20" i="33" s="1"/>
  <c r="K20" i="33"/>
  <c r="E20" i="33"/>
  <c r="D20" i="33"/>
  <c r="F20" i="33" s="1"/>
  <c r="T19" i="33"/>
  <c r="W19" i="33" s="1"/>
  <c r="M19" i="33"/>
  <c r="P19" i="33" s="1"/>
  <c r="K19" i="33"/>
  <c r="E19" i="33"/>
  <c r="D19" i="33"/>
  <c r="F19" i="33" s="1"/>
  <c r="T18" i="33"/>
  <c r="W18" i="33" s="1"/>
  <c r="M18" i="33"/>
  <c r="P18" i="33" s="1"/>
  <c r="K18" i="33"/>
  <c r="E18" i="33"/>
  <c r="D18" i="33"/>
  <c r="F18" i="33" s="1"/>
  <c r="T17" i="33"/>
  <c r="W17" i="33" s="1"/>
  <c r="M17" i="33"/>
  <c r="P17" i="33" s="1"/>
  <c r="K17" i="33"/>
  <c r="E17" i="33"/>
  <c r="D17" i="33"/>
  <c r="F17" i="33" s="1"/>
  <c r="T16" i="33"/>
  <c r="W16" i="33" s="1"/>
  <c r="M16" i="33"/>
  <c r="P16" i="33" s="1"/>
  <c r="K16" i="33"/>
  <c r="E16" i="33"/>
  <c r="D16" i="33"/>
  <c r="F16" i="33" s="1"/>
  <c r="T15" i="33"/>
  <c r="W15" i="33" s="1"/>
  <c r="M15" i="33"/>
  <c r="P15" i="33" s="1"/>
  <c r="K15" i="33"/>
  <c r="E15" i="33"/>
  <c r="D15" i="33"/>
  <c r="F15" i="33" s="1"/>
  <c r="T14" i="33"/>
  <c r="W14" i="33" s="1"/>
  <c r="M14" i="33"/>
  <c r="P14" i="33" s="1"/>
  <c r="K14" i="33"/>
  <c r="E14" i="33"/>
  <c r="D14" i="33"/>
  <c r="F14" i="33" s="1"/>
  <c r="T13" i="33"/>
  <c r="W13" i="33" s="1"/>
  <c r="M13" i="33"/>
  <c r="P13" i="33" s="1"/>
  <c r="K13" i="33"/>
  <c r="E13" i="33"/>
  <c r="D13" i="33"/>
  <c r="F13" i="33" s="1"/>
  <c r="T12" i="33"/>
  <c r="W12" i="33" s="1"/>
  <c r="M12" i="33"/>
  <c r="P12" i="33" s="1"/>
  <c r="K12" i="33"/>
  <c r="E12" i="33"/>
  <c r="D12" i="33"/>
  <c r="F12" i="33" s="1"/>
  <c r="T11" i="33"/>
  <c r="W11" i="33" s="1"/>
  <c r="M11" i="33"/>
  <c r="P11" i="33" s="1"/>
  <c r="K11" i="33"/>
  <c r="E11" i="33"/>
  <c r="D11" i="33"/>
  <c r="F11" i="33" s="1"/>
  <c r="W10" i="33"/>
  <c r="P10" i="33"/>
  <c r="T9" i="33"/>
  <c r="W9" i="33" s="1"/>
  <c r="M9" i="33"/>
  <c r="P9" i="33" s="1"/>
  <c r="K9" i="33"/>
  <c r="E9" i="33"/>
  <c r="D9" i="33"/>
  <c r="F9" i="33" s="1"/>
  <c r="T8" i="33"/>
  <c r="W8" i="33" s="1"/>
  <c r="M8" i="33"/>
  <c r="P8" i="33" s="1"/>
  <c r="K8" i="33"/>
  <c r="E8" i="33"/>
  <c r="D8" i="33"/>
  <c r="F8" i="33" s="1"/>
  <c r="T7" i="33"/>
  <c r="W7" i="33" s="1"/>
  <c r="M7" i="33"/>
  <c r="P7" i="33" s="1"/>
  <c r="K7" i="33"/>
  <c r="E7" i="33"/>
  <c r="D7" i="33"/>
  <c r="F7" i="33" s="1"/>
  <c r="P23" i="33" l="1"/>
  <c r="F23" i="33"/>
  <c r="T23" i="30"/>
  <c r="W23" i="30" s="1"/>
  <c r="O23" i="30"/>
  <c r="E23" i="30" s="1"/>
  <c r="L23" i="30"/>
  <c r="M23" i="30" s="1"/>
  <c r="K23" i="30"/>
  <c r="D23" i="30"/>
  <c r="W22" i="30"/>
  <c r="M22" i="30"/>
  <c r="P22" i="30" s="1"/>
  <c r="K22" i="30"/>
  <c r="E22" i="30"/>
  <c r="D22" i="30"/>
  <c r="F22" i="30" s="1"/>
  <c r="T21" i="30"/>
  <c r="W21" i="30" s="1"/>
  <c r="M21" i="30"/>
  <c r="P21" i="30" s="1"/>
  <c r="K21" i="30"/>
  <c r="E21" i="30"/>
  <c r="D21" i="30"/>
  <c r="F21" i="30" s="1"/>
  <c r="T20" i="30"/>
  <c r="W20" i="30" s="1"/>
  <c r="M20" i="30"/>
  <c r="P20" i="30" s="1"/>
  <c r="K20" i="30"/>
  <c r="E20" i="30"/>
  <c r="D20" i="30"/>
  <c r="F20" i="30" s="1"/>
  <c r="T19" i="30"/>
  <c r="W19" i="30" s="1"/>
  <c r="M19" i="30"/>
  <c r="P19" i="30" s="1"/>
  <c r="K19" i="30"/>
  <c r="E19" i="30"/>
  <c r="D19" i="30"/>
  <c r="F19" i="30" s="1"/>
  <c r="T18" i="30"/>
  <c r="W18" i="30" s="1"/>
  <c r="M18" i="30"/>
  <c r="P18" i="30" s="1"/>
  <c r="K18" i="30"/>
  <c r="E18" i="30"/>
  <c r="D18" i="30"/>
  <c r="F18" i="30" s="1"/>
  <c r="T17" i="30"/>
  <c r="W17" i="30" s="1"/>
  <c r="M17" i="30"/>
  <c r="P17" i="30" s="1"/>
  <c r="K17" i="30"/>
  <c r="E17" i="30"/>
  <c r="D17" i="30"/>
  <c r="F17" i="30" s="1"/>
  <c r="T16" i="30"/>
  <c r="W16" i="30" s="1"/>
  <c r="M16" i="30"/>
  <c r="P16" i="30" s="1"/>
  <c r="K16" i="30"/>
  <c r="E16" i="30"/>
  <c r="D16" i="30"/>
  <c r="F16" i="30" s="1"/>
  <c r="T15" i="30"/>
  <c r="W15" i="30" s="1"/>
  <c r="M15" i="30"/>
  <c r="P15" i="30" s="1"/>
  <c r="K15" i="30"/>
  <c r="E15" i="30"/>
  <c r="D15" i="30"/>
  <c r="F15" i="30" s="1"/>
  <c r="T14" i="30"/>
  <c r="W14" i="30" s="1"/>
  <c r="M14" i="30"/>
  <c r="P14" i="30" s="1"/>
  <c r="K14" i="30"/>
  <c r="E14" i="30"/>
  <c r="D14" i="30"/>
  <c r="F14" i="30" s="1"/>
  <c r="T13" i="30"/>
  <c r="W13" i="30" s="1"/>
  <c r="M13" i="30"/>
  <c r="P13" i="30" s="1"/>
  <c r="K13" i="30"/>
  <c r="E13" i="30"/>
  <c r="D13" i="30"/>
  <c r="F13" i="30" s="1"/>
  <c r="T12" i="30"/>
  <c r="W12" i="30" s="1"/>
  <c r="M12" i="30"/>
  <c r="P12" i="30" s="1"/>
  <c r="K12" i="30"/>
  <c r="E12" i="30"/>
  <c r="D12" i="30"/>
  <c r="F12" i="30" s="1"/>
  <c r="T11" i="30"/>
  <c r="W11" i="30" s="1"/>
  <c r="M11" i="30"/>
  <c r="P11" i="30" s="1"/>
  <c r="K11" i="30"/>
  <c r="E11" i="30"/>
  <c r="D11" i="30"/>
  <c r="F11" i="30" s="1"/>
  <c r="W10" i="30"/>
  <c r="P10" i="30"/>
  <c r="T9" i="30"/>
  <c r="W9" i="30" s="1"/>
  <c r="M9" i="30"/>
  <c r="P9" i="30" s="1"/>
  <c r="K9" i="30"/>
  <c r="E9" i="30"/>
  <c r="D9" i="30"/>
  <c r="F9" i="30" s="1"/>
  <c r="T8" i="30"/>
  <c r="W8" i="30" s="1"/>
  <c r="M8" i="30"/>
  <c r="P8" i="30" s="1"/>
  <c r="K8" i="30"/>
  <c r="E8" i="30"/>
  <c r="D8" i="30"/>
  <c r="F8" i="30" s="1"/>
  <c r="T7" i="30"/>
  <c r="W7" i="30" s="1"/>
  <c r="M7" i="30"/>
  <c r="P7" i="30" s="1"/>
  <c r="K7" i="30"/>
  <c r="E7" i="30"/>
  <c r="D7" i="30"/>
  <c r="F7" i="30" s="1"/>
  <c r="P23" i="30" l="1"/>
  <c r="F23" i="30"/>
  <c r="T24" i="27" l="1"/>
  <c r="W24" i="27" s="1"/>
  <c r="O24" i="27"/>
  <c r="E24" i="27" s="1"/>
  <c r="L24" i="27"/>
  <c r="M24" i="27" s="1"/>
  <c r="K24" i="27"/>
  <c r="C24" i="27"/>
  <c r="D24" i="27" s="1"/>
  <c r="T23" i="27"/>
  <c r="W23" i="27" s="1"/>
  <c r="M23" i="27"/>
  <c r="P23" i="27" s="1"/>
  <c r="K23" i="27"/>
  <c r="E23" i="27"/>
  <c r="D23" i="27"/>
  <c r="F23" i="27" s="1"/>
  <c r="T22" i="27"/>
  <c r="W22" i="27" s="1"/>
  <c r="M22" i="27"/>
  <c r="P22" i="27" s="1"/>
  <c r="K22" i="27"/>
  <c r="E22" i="27"/>
  <c r="D22" i="27"/>
  <c r="F22" i="27" s="1"/>
  <c r="T21" i="27"/>
  <c r="W21" i="27" s="1"/>
  <c r="M21" i="27"/>
  <c r="P21" i="27" s="1"/>
  <c r="K21" i="27"/>
  <c r="E21" i="27"/>
  <c r="D21" i="27"/>
  <c r="F21" i="27" s="1"/>
  <c r="T20" i="27"/>
  <c r="W20" i="27" s="1"/>
  <c r="M20" i="27"/>
  <c r="P20" i="27" s="1"/>
  <c r="K20" i="27"/>
  <c r="E20" i="27"/>
  <c r="D20" i="27"/>
  <c r="F20" i="27" s="1"/>
  <c r="T19" i="27"/>
  <c r="W19" i="27" s="1"/>
  <c r="M19" i="27"/>
  <c r="P19" i="27" s="1"/>
  <c r="K19" i="27"/>
  <c r="E19" i="27"/>
  <c r="D19" i="27"/>
  <c r="F19" i="27" s="1"/>
  <c r="T18" i="27"/>
  <c r="W18" i="27" s="1"/>
  <c r="M18" i="27"/>
  <c r="P18" i="27" s="1"/>
  <c r="K18" i="27"/>
  <c r="E18" i="27"/>
  <c r="D18" i="27"/>
  <c r="F18" i="27" s="1"/>
  <c r="T17" i="27"/>
  <c r="W17" i="27" s="1"/>
  <c r="M17" i="27"/>
  <c r="P17" i="27" s="1"/>
  <c r="K17" i="27"/>
  <c r="E17" i="27"/>
  <c r="D17" i="27"/>
  <c r="F17" i="27" s="1"/>
  <c r="T16" i="27"/>
  <c r="W16" i="27" s="1"/>
  <c r="M16" i="27"/>
  <c r="P16" i="27" s="1"/>
  <c r="K16" i="27"/>
  <c r="E16" i="27"/>
  <c r="D16" i="27"/>
  <c r="F16" i="27" s="1"/>
  <c r="T15" i="27"/>
  <c r="W15" i="27" s="1"/>
  <c r="M15" i="27"/>
  <c r="P15" i="27" s="1"/>
  <c r="K15" i="27"/>
  <c r="E15" i="27"/>
  <c r="D15" i="27"/>
  <c r="F15" i="27" s="1"/>
  <c r="T14" i="27"/>
  <c r="W14" i="27" s="1"/>
  <c r="M14" i="27"/>
  <c r="P14" i="27" s="1"/>
  <c r="K14" i="27"/>
  <c r="E14" i="27"/>
  <c r="D14" i="27"/>
  <c r="F14" i="27" s="1"/>
  <c r="T13" i="27"/>
  <c r="W13" i="27" s="1"/>
  <c r="M13" i="27"/>
  <c r="P13" i="27" s="1"/>
  <c r="K13" i="27"/>
  <c r="E13" i="27"/>
  <c r="D13" i="27"/>
  <c r="F13" i="27" s="1"/>
  <c r="T12" i="27"/>
  <c r="W12" i="27" s="1"/>
  <c r="M12" i="27"/>
  <c r="P12" i="27" s="1"/>
  <c r="K12" i="27"/>
  <c r="E12" i="27"/>
  <c r="D12" i="27"/>
  <c r="F12" i="27" s="1"/>
  <c r="W11" i="27"/>
  <c r="P11" i="27"/>
  <c r="T10" i="27"/>
  <c r="W10" i="27" s="1"/>
  <c r="M10" i="27"/>
  <c r="P10" i="27" s="1"/>
  <c r="K10" i="27"/>
  <c r="E10" i="27"/>
  <c r="D10" i="27"/>
  <c r="F10" i="27" s="1"/>
  <c r="T9" i="27"/>
  <c r="W9" i="27" s="1"/>
  <c r="M9" i="27"/>
  <c r="P9" i="27" s="1"/>
  <c r="K9" i="27"/>
  <c r="E9" i="27"/>
  <c r="D9" i="27"/>
  <c r="F9" i="27" s="1"/>
  <c r="T8" i="27"/>
  <c r="W8" i="27" s="1"/>
  <c r="M8" i="27"/>
  <c r="P8" i="27" s="1"/>
  <c r="K8" i="27"/>
  <c r="E8" i="27"/>
  <c r="D8" i="27"/>
  <c r="F8" i="27" s="1"/>
  <c r="F24" i="27" l="1"/>
  <c r="P24" i="27"/>
  <c r="T23" i="26"/>
  <c r="W23" i="26" s="1"/>
  <c r="O23" i="26"/>
  <c r="E23" i="26" s="1"/>
  <c r="L23" i="26"/>
  <c r="M23" i="26" s="1"/>
  <c r="P23" i="26" s="1"/>
  <c r="K23" i="26"/>
  <c r="D23" i="26"/>
  <c r="T22" i="26"/>
  <c r="W22" i="26" s="1"/>
  <c r="M22" i="26"/>
  <c r="P22" i="26" s="1"/>
  <c r="K22" i="26"/>
  <c r="E22" i="26"/>
  <c r="D22" i="26"/>
  <c r="F22" i="26" s="1"/>
  <c r="T21" i="26"/>
  <c r="W21" i="26" s="1"/>
  <c r="M21" i="26"/>
  <c r="P21" i="26" s="1"/>
  <c r="K21" i="26"/>
  <c r="E21" i="26"/>
  <c r="D21" i="26"/>
  <c r="F21" i="26" s="1"/>
  <c r="T20" i="26"/>
  <c r="W20" i="26" s="1"/>
  <c r="M20" i="26"/>
  <c r="P20" i="26" s="1"/>
  <c r="K20" i="26"/>
  <c r="E20" i="26"/>
  <c r="D20" i="26"/>
  <c r="F20" i="26" s="1"/>
  <c r="T19" i="26"/>
  <c r="W19" i="26" s="1"/>
  <c r="M19" i="26"/>
  <c r="P19" i="26" s="1"/>
  <c r="K19" i="26"/>
  <c r="E19" i="26"/>
  <c r="D19" i="26"/>
  <c r="F19" i="26" s="1"/>
  <c r="T18" i="26"/>
  <c r="W18" i="26" s="1"/>
  <c r="M18" i="26"/>
  <c r="P18" i="26" s="1"/>
  <c r="K18" i="26"/>
  <c r="E18" i="26"/>
  <c r="D18" i="26"/>
  <c r="F18" i="26" s="1"/>
  <c r="T17" i="26"/>
  <c r="W17" i="26" s="1"/>
  <c r="M17" i="26"/>
  <c r="P17" i="26" s="1"/>
  <c r="K17" i="26"/>
  <c r="E17" i="26"/>
  <c r="D17" i="26"/>
  <c r="F17" i="26" s="1"/>
  <c r="T16" i="26"/>
  <c r="W16" i="26" s="1"/>
  <c r="M16" i="26"/>
  <c r="P16" i="26" s="1"/>
  <c r="K16" i="26"/>
  <c r="E16" i="26"/>
  <c r="D16" i="26"/>
  <c r="F16" i="26" s="1"/>
  <c r="T15" i="26"/>
  <c r="W15" i="26" s="1"/>
  <c r="M15" i="26"/>
  <c r="P15" i="26" s="1"/>
  <c r="K15" i="26"/>
  <c r="E15" i="26"/>
  <c r="D15" i="26"/>
  <c r="F15" i="26" s="1"/>
  <c r="T14" i="26"/>
  <c r="W14" i="26" s="1"/>
  <c r="M14" i="26"/>
  <c r="P14" i="26" s="1"/>
  <c r="K14" i="26"/>
  <c r="E14" i="26"/>
  <c r="D14" i="26"/>
  <c r="F14" i="26" s="1"/>
  <c r="T13" i="26"/>
  <c r="W13" i="26" s="1"/>
  <c r="M13" i="26"/>
  <c r="P13" i="26" s="1"/>
  <c r="K13" i="26"/>
  <c r="E13" i="26"/>
  <c r="D13" i="26"/>
  <c r="F13" i="26" s="1"/>
  <c r="T12" i="26"/>
  <c r="W12" i="26" s="1"/>
  <c r="M12" i="26"/>
  <c r="P12" i="26" s="1"/>
  <c r="K12" i="26"/>
  <c r="E12" i="26"/>
  <c r="D12" i="26"/>
  <c r="F12" i="26" s="1"/>
  <c r="T11" i="26"/>
  <c r="W11" i="26" s="1"/>
  <c r="M11" i="26"/>
  <c r="P11" i="26" s="1"/>
  <c r="K11" i="26"/>
  <c r="E11" i="26"/>
  <c r="D11" i="26"/>
  <c r="F11" i="26" s="1"/>
  <c r="W10" i="26"/>
  <c r="P10" i="26"/>
  <c r="T9" i="26"/>
  <c r="W9" i="26" s="1"/>
  <c r="M9" i="26"/>
  <c r="P9" i="26" s="1"/>
  <c r="K9" i="26"/>
  <c r="E9" i="26"/>
  <c r="D9" i="26"/>
  <c r="F9" i="26" s="1"/>
  <c r="T8" i="26"/>
  <c r="W8" i="26" s="1"/>
  <c r="M8" i="26"/>
  <c r="P8" i="26" s="1"/>
  <c r="K8" i="26"/>
  <c r="E8" i="26"/>
  <c r="D8" i="26"/>
  <c r="F8" i="26" s="1"/>
  <c r="T7" i="26"/>
  <c r="W7" i="26" s="1"/>
  <c r="M7" i="26"/>
  <c r="P7" i="26" s="1"/>
  <c r="K7" i="26"/>
  <c r="E7" i="26"/>
  <c r="D7" i="26"/>
  <c r="F7" i="26" s="1"/>
  <c r="F23" i="26" l="1"/>
  <c r="T23" i="23"/>
  <c r="W23" i="23" s="1"/>
  <c r="M23" i="23"/>
  <c r="P23" i="23" s="1"/>
  <c r="K23" i="23"/>
  <c r="E23" i="23"/>
  <c r="D23" i="23"/>
  <c r="F23" i="23" s="1"/>
  <c r="T22" i="23"/>
  <c r="W22" i="23" s="1"/>
  <c r="M22" i="23"/>
  <c r="P22" i="23" s="1"/>
  <c r="K22" i="23"/>
  <c r="E22" i="23"/>
  <c r="D22" i="23"/>
  <c r="F22" i="23" s="1"/>
  <c r="T21" i="23"/>
  <c r="W21" i="23" s="1"/>
  <c r="M21" i="23"/>
  <c r="P21" i="23" s="1"/>
  <c r="K21" i="23"/>
  <c r="E21" i="23"/>
  <c r="D21" i="23"/>
  <c r="F21" i="23" s="1"/>
  <c r="T20" i="23"/>
  <c r="W20" i="23" s="1"/>
  <c r="M20" i="23"/>
  <c r="P20" i="23" s="1"/>
  <c r="K20" i="23"/>
  <c r="E20" i="23"/>
  <c r="D20" i="23"/>
  <c r="F20" i="23" s="1"/>
  <c r="T19" i="23"/>
  <c r="W19" i="23" s="1"/>
  <c r="M19" i="23"/>
  <c r="P19" i="23" s="1"/>
  <c r="K19" i="23"/>
  <c r="D19" i="23"/>
  <c r="F19" i="23" s="1"/>
  <c r="T18" i="23"/>
  <c r="W18" i="23" s="1"/>
  <c r="P18" i="23"/>
  <c r="E18" i="23"/>
  <c r="D18" i="23"/>
  <c r="F18" i="23" s="1"/>
  <c r="T17" i="23"/>
  <c r="W17" i="23" s="1"/>
  <c r="M17" i="23"/>
  <c r="P17" i="23" s="1"/>
  <c r="K17" i="23"/>
  <c r="E17" i="23"/>
  <c r="D17" i="23"/>
  <c r="F17" i="23" s="1"/>
  <c r="T16" i="23"/>
  <c r="W16" i="23" s="1"/>
  <c r="M16" i="23"/>
  <c r="P16" i="23" s="1"/>
  <c r="K16" i="23"/>
  <c r="E16" i="23"/>
  <c r="D16" i="23"/>
  <c r="F16" i="23" s="1"/>
  <c r="T15" i="23"/>
  <c r="W15" i="23" s="1"/>
  <c r="M15" i="23"/>
  <c r="P15" i="23" s="1"/>
  <c r="K15" i="23"/>
  <c r="E15" i="23"/>
  <c r="D15" i="23"/>
  <c r="F15" i="23" s="1"/>
  <c r="T14" i="23"/>
  <c r="W14" i="23" s="1"/>
  <c r="M14" i="23"/>
  <c r="P14" i="23" s="1"/>
  <c r="K14" i="23"/>
  <c r="E14" i="23"/>
  <c r="D14" i="23"/>
  <c r="F14" i="23" s="1"/>
  <c r="T13" i="23"/>
  <c r="W13" i="23" s="1"/>
  <c r="M13" i="23"/>
  <c r="P13" i="23" s="1"/>
  <c r="K13" i="23"/>
  <c r="E13" i="23"/>
  <c r="D13" i="23"/>
  <c r="F13" i="23" s="1"/>
  <c r="T12" i="23"/>
  <c r="W12" i="23" s="1"/>
  <c r="M12" i="23"/>
  <c r="P12" i="23" s="1"/>
  <c r="K12" i="23"/>
  <c r="E12" i="23"/>
  <c r="D12" i="23"/>
  <c r="F12" i="23" s="1"/>
  <c r="T11" i="23"/>
  <c r="W11" i="23" s="1"/>
  <c r="M11" i="23"/>
  <c r="P11" i="23" s="1"/>
  <c r="K11" i="23"/>
  <c r="E11" i="23"/>
  <c r="D11" i="23"/>
  <c r="F11" i="23" s="1"/>
  <c r="W10" i="23"/>
  <c r="P10" i="23"/>
  <c r="T9" i="23"/>
  <c r="W9" i="23" s="1"/>
  <c r="M9" i="23"/>
  <c r="P9" i="23" s="1"/>
  <c r="K9" i="23"/>
  <c r="E9" i="23"/>
  <c r="D9" i="23"/>
  <c r="F9" i="23" s="1"/>
  <c r="T8" i="23"/>
  <c r="W8" i="23" s="1"/>
  <c r="M8" i="23"/>
  <c r="P8" i="23" s="1"/>
  <c r="K8" i="23"/>
  <c r="E8" i="23"/>
  <c r="D8" i="23"/>
  <c r="F8" i="23" s="1"/>
  <c r="T7" i="23"/>
  <c r="W7" i="23" s="1"/>
  <c r="M7" i="23"/>
  <c r="P7" i="23" s="1"/>
  <c r="K7" i="23"/>
  <c r="E7" i="23"/>
  <c r="D7" i="23"/>
  <c r="F7" i="23" s="1"/>
  <c r="T23" i="22" l="1"/>
  <c r="W23" i="22" s="1"/>
  <c r="O23" i="22"/>
  <c r="E23" i="22" s="1"/>
  <c r="L23" i="22"/>
  <c r="M23" i="22" s="1"/>
  <c r="K23" i="22"/>
  <c r="C23" i="22"/>
  <c r="D23" i="22" s="1"/>
  <c r="F23" i="22" s="1"/>
  <c r="T22" i="22"/>
  <c r="W22" i="22" s="1"/>
  <c r="M22" i="22"/>
  <c r="P22" i="22" s="1"/>
  <c r="K22" i="22"/>
  <c r="E22" i="22"/>
  <c r="D22" i="22"/>
  <c r="F22" i="22" s="1"/>
  <c r="T21" i="22"/>
  <c r="W21" i="22" s="1"/>
  <c r="M21" i="22"/>
  <c r="P21" i="22" s="1"/>
  <c r="K21" i="22"/>
  <c r="E21" i="22"/>
  <c r="D21" i="22"/>
  <c r="F21" i="22" s="1"/>
  <c r="T20" i="22"/>
  <c r="W20" i="22" s="1"/>
  <c r="M20" i="22"/>
  <c r="P20" i="22" s="1"/>
  <c r="K20" i="22"/>
  <c r="E20" i="22"/>
  <c r="D20" i="22"/>
  <c r="F20" i="22" s="1"/>
  <c r="T19" i="22"/>
  <c r="W19" i="22" s="1"/>
  <c r="M19" i="22"/>
  <c r="P19" i="22" s="1"/>
  <c r="K19" i="22"/>
  <c r="E19" i="22"/>
  <c r="D19" i="22"/>
  <c r="F19" i="22" s="1"/>
  <c r="T18" i="22"/>
  <c r="W18" i="22" s="1"/>
  <c r="M18" i="22"/>
  <c r="P18" i="22" s="1"/>
  <c r="K18" i="22"/>
  <c r="E18" i="22"/>
  <c r="D18" i="22"/>
  <c r="F18" i="22" s="1"/>
  <c r="T17" i="22"/>
  <c r="W17" i="22" s="1"/>
  <c r="M17" i="22"/>
  <c r="P17" i="22" s="1"/>
  <c r="K17" i="22"/>
  <c r="E17" i="22"/>
  <c r="D17" i="22"/>
  <c r="F17" i="22" s="1"/>
  <c r="T16" i="22"/>
  <c r="W16" i="22" s="1"/>
  <c r="M16" i="22"/>
  <c r="P16" i="22" s="1"/>
  <c r="K16" i="22"/>
  <c r="E16" i="22"/>
  <c r="D16" i="22"/>
  <c r="F16" i="22" s="1"/>
  <c r="T15" i="22"/>
  <c r="W15" i="22" s="1"/>
  <c r="M15" i="22"/>
  <c r="P15" i="22" s="1"/>
  <c r="K15" i="22"/>
  <c r="E15" i="22"/>
  <c r="D15" i="22"/>
  <c r="F15" i="22" s="1"/>
  <c r="T14" i="22"/>
  <c r="W14" i="22" s="1"/>
  <c r="M14" i="22"/>
  <c r="P14" i="22" s="1"/>
  <c r="K14" i="22"/>
  <c r="E14" i="22"/>
  <c r="D14" i="22"/>
  <c r="F14" i="22" s="1"/>
  <c r="T13" i="22"/>
  <c r="W13" i="22" s="1"/>
  <c r="M13" i="22"/>
  <c r="P13" i="22" s="1"/>
  <c r="K13" i="22"/>
  <c r="E13" i="22"/>
  <c r="D13" i="22"/>
  <c r="F13" i="22" s="1"/>
  <c r="T12" i="22"/>
  <c r="W12" i="22" s="1"/>
  <c r="M12" i="22"/>
  <c r="P12" i="22" s="1"/>
  <c r="K12" i="22"/>
  <c r="E12" i="22"/>
  <c r="D12" i="22"/>
  <c r="F12" i="22" s="1"/>
  <c r="T11" i="22"/>
  <c r="W11" i="22" s="1"/>
  <c r="M11" i="22"/>
  <c r="P11" i="22" s="1"/>
  <c r="K11" i="22"/>
  <c r="E11" i="22"/>
  <c r="D11" i="22"/>
  <c r="F11" i="22" s="1"/>
  <c r="W10" i="22"/>
  <c r="P10" i="22"/>
  <c r="K10" i="22"/>
  <c r="T9" i="22"/>
  <c r="W9" i="22" s="1"/>
  <c r="Q9" i="22"/>
  <c r="L9" i="22"/>
  <c r="J9" i="22"/>
  <c r="I9" i="22"/>
  <c r="E9" i="22"/>
  <c r="D9" i="22"/>
  <c r="F9" i="22" s="1"/>
  <c r="T8" i="22"/>
  <c r="W8" i="22" s="1"/>
  <c r="M8" i="22"/>
  <c r="P8" i="22" s="1"/>
  <c r="K8" i="22"/>
  <c r="E8" i="22"/>
  <c r="D8" i="22"/>
  <c r="F8" i="22" s="1"/>
  <c r="T7" i="22"/>
  <c r="W7" i="22" s="1"/>
  <c r="R7" i="22"/>
  <c r="M7" i="22"/>
  <c r="P7" i="22" s="1"/>
  <c r="K7" i="22"/>
  <c r="E7" i="22"/>
  <c r="C7" i="22"/>
  <c r="D7" i="22" s="1"/>
  <c r="F7" i="22" s="1"/>
  <c r="P23" i="22" l="1"/>
  <c r="K9" i="22"/>
  <c r="M9" i="22"/>
  <c r="P9" i="22" s="1"/>
  <c r="T23" i="21" l="1"/>
  <c r="W23" i="21" s="1"/>
  <c r="O23" i="21"/>
  <c r="E23" i="21" s="1"/>
  <c r="L23" i="21"/>
  <c r="M23" i="21" s="1"/>
  <c r="K23" i="21"/>
  <c r="D23" i="21"/>
  <c r="T22" i="21"/>
  <c r="W22" i="21" s="1"/>
  <c r="O22" i="21"/>
  <c r="E22" i="21" s="1"/>
  <c r="L22" i="21"/>
  <c r="M22" i="21" s="1"/>
  <c r="K22" i="21"/>
  <c r="C22" i="21"/>
  <c r="D22" i="21" s="1"/>
  <c r="T21" i="21"/>
  <c r="W21" i="21" s="1"/>
  <c r="M21" i="21"/>
  <c r="P21" i="21" s="1"/>
  <c r="K21" i="21"/>
  <c r="E21" i="21"/>
  <c r="D21" i="21"/>
  <c r="F21" i="21" s="1"/>
  <c r="T20" i="21"/>
  <c r="W20" i="21" s="1"/>
  <c r="M20" i="21"/>
  <c r="P20" i="21" s="1"/>
  <c r="K20" i="21"/>
  <c r="E20" i="21"/>
  <c r="D20" i="21"/>
  <c r="F20" i="21" s="1"/>
  <c r="T19" i="21"/>
  <c r="W19" i="21" s="1"/>
  <c r="M19" i="21"/>
  <c r="P19" i="21" s="1"/>
  <c r="K19" i="21"/>
  <c r="E19" i="21"/>
  <c r="D19" i="21"/>
  <c r="F19" i="21" s="1"/>
  <c r="T18" i="21"/>
  <c r="W18" i="21" s="1"/>
  <c r="M18" i="21"/>
  <c r="P18" i="21" s="1"/>
  <c r="K18" i="21"/>
  <c r="E18" i="21"/>
  <c r="D18" i="21"/>
  <c r="F18" i="21" s="1"/>
  <c r="T17" i="21"/>
  <c r="W17" i="21" s="1"/>
  <c r="M17" i="21"/>
  <c r="P17" i="21" s="1"/>
  <c r="K17" i="21"/>
  <c r="E17" i="21"/>
  <c r="D17" i="21"/>
  <c r="F17" i="21" s="1"/>
  <c r="T16" i="21"/>
  <c r="W16" i="21" s="1"/>
  <c r="M16" i="21"/>
  <c r="P16" i="21" s="1"/>
  <c r="K16" i="21"/>
  <c r="E16" i="21"/>
  <c r="D16" i="21"/>
  <c r="F16" i="21" s="1"/>
  <c r="T15" i="21"/>
  <c r="W15" i="21" s="1"/>
  <c r="M15" i="21"/>
  <c r="P15" i="21" s="1"/>
  <c r="K15" i="21"/>
  <c r="E15" i="21"/>
  <c r="D15" i="21"/>
  <c r="F15" i="21" s="1"/>
  <c r="T14" i="21"/>
  <c r="W14" i="21" s="1"/>
  <c r="M14" i="21"/>
  <c r="P14" i="21" s="1"/>
  <c r="K14" i="21"/>
  <c r="E14" i="21"/>
  <c r="D14" i="21"/>
  <c r="F14" i="21" s="1"/>
  <c r="T13" i="21"/>
  <c r="W13" i="21" s="1"/>
  <c r="M13" i="21"/>
  <c r="P13" i="21" s="1"/>
  <c r="K13" i="21"/>
  <c r="E13" i="21"/>
  <c r="D13" i="21"/>
  <c r="F13" i="21" s="1"/>
  <c r="T12" i="21"/>
  <c r="W12" i="21" s="1"/>
  <c r="P12" i="21"/>
  <c r="K12" i="21"/>
  <c r="E12" i="21"/>
  <c r="D12" i="21"/>
  <c r="F12" i="21" s="1"/>
  <c r="T11" i="21"/>
  <c r="W11" i="21" s="1"/>
  <c r="P11" i="21"/>
  <c r="K11" i="21"/>
  <c r="E11" i="21"/>
  <c r="D11" i="21"/>
  <c r="F11" i="21" s="1"/>
  <c r="W10" i="21"/>
  <c r="P10" i="21"/>
  <c r="T9" i="21"/>
  <c r="W9" i="21" s="1"/>
  <c r="M9" i="21"/>
  <c r="P9" i="21" s="1"/>
  <c r="K9" i="21"/>
  <c r="E9" i="21"/>
  <c r="D9" i="21"/>
  <c r="F9" i="21" s="1"/>
  <c r="T8" i="21"/>
  <c r="W8" i="21" s="1"/>
  <c r="M8" i="21"/>
  <c r="P8" i="21" s="1"/>
  <c r="K8" i="21"/>
  <c r="E8" i="21"/>
  <c r="D8" i="21"/>
  <c r="F8" i="21" s="1"/>
  <c r="T7" i="21"/>
  <c r="W7" i="21" s="1"/>
  <c r="M7" i="21"/>
  <c r="P7" i="21" s="1"/>
  <c r="K7" i="21"/>
  <c r="E7" i="21"/>
  <c r="D7" i="21"/>
  <c r="F7" i="21" s="1"/>
  <c r="P22" i="21" l="1"/>
  <c r="P23" i="21"/>
  <c r="F22" i="21"/>
  <c r="F23" i="21"/>
  <c r="T23" i="10" l="1"/>
  <c r="W23" i="10" s="1"/>
  <c r="L23" i="10"/>
  <c r="M23" i="10" s="1"/>
  <c r="P23" i="10" s="1"/>
  <c r="K23" i="10"/>
  <c r="E23" i="10"/>
  <c r="C23" i="10"/>
  <c r="D23" i="10" s="1"/>
  <c r="F23" i="10" s="1"/>
  <c r="T22" i="10"/>
  <c r="W22" i="10" s="1"/>
  <c r="M22" i="10"/>
  <c r="P22" i="10" s="1"/>
  <c r="K22" i="10"/>
  <c r="E22" i="10"/>
  <c r="D22" i="10"/>
  <c r="F22" i="10" s="1"/>
  <c r="T21" i="10"/>
  <c r="W21" i="10" s="1"/>
  <c r="M21" i="10"/>
  <c r="P21" i="10" s="1"/>
  <c r="K21" i="10"/>
  <c r="E21" i="10"/>
  <c r="D21" i="10"/>
  <c r="F20" i="10" s="1"/>
  <c r="T20" i="10"/>
  <c r="W20" i="10" s="1"/>
  <c r="M20" i="10"/>
  <c r="P20" i="10" s="1"/>
  <c r="K20" i="10"/>
  <c r="E20" i="10"/>
  <c r="D20" i="10"/>
  <c r="F19" i="10" s="1"/>
  <c r="T19" i="10"/>
  <c r="W19" i="10" s="1"/>
  <c r="M19" i="10"/>
  <c r="P19" i="10" s="1"/>
  <c r="K19" i="10"/>
  <c r="E19" i="10"/>
  <c r="D19" i="10"/>
  <c r="F18" i="10" s="1"/>
  <c r="T18" i="10"/>
  <c r="W18" i="10" s="1"/>
  <c r="M18" i="10"/>
  <c r="P18" i="10" s="1"/>
  <c r="K18" i="10"/>
  <c r="E18" i="10"/>
  <c r="D18" i="10"/>
  <c r="T17" i="10"/>
  <c r="W17" i="10" s="1"/>
  <c r="M17" i="10"/>
  <c r="P17" i="10" s="1"/>
  <c r="K17" i="10"/>
  <c r="E17" i="10"/>
  <c r="D17" i="10"/>
  <c r="F17" i="10" s="1"/>
  <c r="T16" i="10"/>
  <c r="W16" i="10" s="1"/>
  <c r="M16" i="10"/>
  <c r="P16" i="10" s="1"/>
  <c r="K16" i="10"/>
  <c r="E16" i="10"/>
  <c r="D16" i="10"/>
  <c r="F16" i="10" s="1"/>
  <c r="T15" i="10"/>
  <c r="W15" i="10" s="1"/>
  <c r="M15" i="10"/>
  <c r="P15" i="10" s="1"/>
  <c r="K15" i="10"/>
  <c r="E15" i="10"/>
  <c r="D15" i="10"/>
  <c r="F15" i="10" s="1"/>
  <c r="T14" i="10"/>
  <c r="W14" i="10" s="1"/>
  <c r="M14" i="10"/>
  <c r="P14" i="10" s="1"/>
  <c r="K14" i="10"/>
  <c r="E14" i="10"/>
  <c r="D14" i="10"/>
  <c r="F14" i="10" s="1"/>
  <c r="T13" i="10"/>
  <c r="W13" i="10" s="1"/>
  <c r="M13" i="10"/>
  <c r="P13" i="10" s="1"/>
  <c r="K13" i="10"/>
  <c r="D13" i="10"/>
  <c r="F13" i="10" s="1"/>
  <c r="T12" i="10"/>
  <c r="W12" i="10" s="1"/>
  <c r="M12" i="10"/>
  <c r="P12" i="10" s="1"/>
  <c r="K12" i="10"/>
  <c r="D12" i="10"/>
  <c r="F12" i="10" s="1"/>
  <c r="T11" i="10"/>
  <c r="W11" i="10" s="1"/>
  <c r="M11" i="10"/>
  <c r="P11" i="10" s="1"/>
  <c r="K11" i="10"/>
  <c r="D11" i="10"/>
  <c r="F11" i="10" s="1"/>
  <c r="W10" i="10"/>
  <c r="M10" i="10"/>
  <c r="P10" i="10" s="1"/>
  <c r="T9" i="10"/>
  <c r="W9" i="10" s="1"/>
  <c r="M9" i="10"/>
  <c r="P9" i="10" s="1"/>
  <c r="K9" i="10"/>
  <c r="D9" i="10"/>
  <c r="F9" i="10" s="1"/>
  <c r="T8" i="10"/>
  <c r="W8" i="10" s="1"/>
  <c r="M8" i="10"/>
  <c r="P8" i="10" s="1"/>
  <c r="K8" i="10"/>
  <c r="E8" i="10"/>
  <c r="D8" i="10"/>
  <c r="F8" i="10" s="1"/>
  <c r="T7" i="10"/>
  <c r="W7" i="10" s="1"/>
  <c r="M7" i="10"/>
  <c r="P7" i="10" s="1"/>
  <c r="K7" i="10"/>
  <c r="E7" i="10"/>
  <c r="D7" i="10"/>
  <c r="F7" i="10" s="1"/>
  <c r="E13" i="10" l="1"/>
  <c r="E12" i="10"/>
  <c r="E11" i="10"/>
  <c r="E9" i="10"/>
  <c r="E18" i="59" l="1"/>
  <c r="D18" i="59"/>
  <c r="F18" i="59" s="1"/>
  <c r="T17" i="59"/>
  <c r="W17" i="59" s="1"/>
  <c r="M17" i="59"/>
  <c r="P17" i="59" s="1"/>
  <c r="K17" i="59"/>
  <c r="E17" i="59"/>
  <c r="D17" i="59"/>
  <c r="F17" i="59" s="1"/>
  <c r="T16" i="59"/>
  <c r="W16" i="59" s="1"/>
  <c r="M16" i="59"/>
  <c r="P16" i="59" s="1"/>
  <c r="K16" i="59"/>
  <c r="E16" i="59"/>
  <c r="D16" i="59"/>
  <c r="F16" i="59" s="1"/>
  <c r="T15" i="59"/>
  <c r="W15" i="59" s="1"/>
  <c r="M15" i="59"/>
  <c r="P15" i="59" s="1"/>
  <c r="K15" i="59"/>
  <c r="E15" i="59"/>
  <c r="D15" i="59"/>
  <c r="F15" i="59" s="1"/>
  <c r="T14" i="59"/>
  <c r="W14" i="59" s="1"/>
  <c r="M14" i="59"/>
  <c r="P14" i="59" s="1"/>
  <c r="K14" i="59"/>
  <c r="E14" i="59"/>
  <c r="D14" i="59"/>
  <c r="F14" i="59" s="1"/>
  <c r="T13" i="59"/>
  <c r="W13" i="59" s="1"/>
  <c r="M13" i="59"/>
  <c r="P13" i="59" s="1"/>
  <c r="K13" i="59"/>
  <c r="E13" i="59"/>
  <c r="D13" i="59"/>
  <c r="F13" i="59" s="1"/>
  <c r="T12" i="59"/>
  <c r="W12" i="59" s="1"/>
  <c r="M12" i="59"/>
  <c r="P12" i="59" s="1"/>
  <c r="K12" i="59"/>
  <c r="E12" i="59"/>
  <c r="D12" i="59"/>
  <c r="F12" i="59" s="1"/>
  <c r="T11" i="59"/>
  <c r="W11" i="59" s="1"/>
  <c r="M11" i="59"/>
  <c r="P11" i="59" s="1"/>
  <c r="K11" i="59"/>
  <c r="E11" i="59"/>
  <c r="D11" i="59"/>
  <c r="F11" i="59" s="1"/>
  <c r="W10" i="59"/>
  <c r="P10" i="59"/>
  <c r="T9" i="59"/>
  <c r="W9" i="59" s="1"/>
  <c r="M9" i="59"/>
  <c r="P9" i="59" s="1"/>
  <c r="K9" i="59"/>
  <c r="E9" i="59"/>
  <c r="D9" i="59"/>
  <c r="F9" i="59" s="1"/>
  <c r="T8" i="59"/>
  <c r="W8" i="59" s="1"/>
  <c r="M8" i="59"/>
  <c r="P8" i="59" s="1"/>
  <c r="K8" i="59"/>
  <c r="E8" i="59"/>
  <c r="D8" i="59"/>
  <c r="F8" i="59" s="1"/>
  <c r="T7" i="59"/>
  <c r="W7" i="59" s="1"/>
  <c r="M7" i="59"/>
  <c r="P7" i="59" s="1"/>
  <c r="K7" i="59"/>
  <c r="E7" i="59"/>
  <c r="D7" i="59"/>
  <c r="F7" i="59" s="1"/>
  <c r="T23" i="9" l="1"/>
  <c r="W23" i="9" s="1"/>
  <c r="O23" i="9"/>
  <c r="E23" i="9" s="1"/>
  <c r="L23" i="9"/>
  <c r="M23" i="9" s="1"/>
  <c r="K23" i="9"/>
  <c r="C23" i="9"/>
  <c r="D23" i="9" s="1"/>
  <c r="T22" i="9"/>
  <c r="W22" i="9" s="1"/>
  <c r="M22" i="9"/>
  <c r="P22" i="9" s="1"/>
  <c r="K22" i="9"/>
  <c r="E22" i="9"/>
  <c r="D22" i="9"/>
  <c r="F22" i="9" s="1"/>
  <c r="T21" i="9"/>
  <c r="W21" i="9" s="1"/>
  <c r="M21" i="9"/>
  <c r="P21" i="9" s="1"/>
  <c r="K21" i="9"/>
  <c r="E21" i="9"/>
  <c r="D21" i="9"/>
  <c r="F21" i="9" s="1"/>
  <c r="T20" i="9"/>
  <c r="W20" i="9" s="1"/>
  <c r="M20" i="9"/>
  <c r="P20" i="9" s="1"/>
  <c r="K20" i="9"/>
  <c r="E20" i="9"/>
  <c r="D20" i="9"/>
  <c r="F20" i="9" s="1"/>
  <c r="T19" i="9"/>
  <c r="W19" i="9" s="1"/>
  <c r="M19" i="9"/>
  <c r="P19" i="9" s="1"/>
  <c r="K19" i="9"/>
  <c r="F19" i="9"/>
  <c r="E19" i="9"/>
  <c r="T18" i="9"/>
  <c r="W18" i="9" s="1"/>
  <c r="M18" i="9"/>
  <c r="P18" i="9" s="1"/>
  <c r="K18" i="9"/>
  <c r="E18" i="9"/>
  <c r="D18" i="9"/>
  <c r="F18" i="9" s="1"/>
  <c r="T17" i="9"/>
  <c r="W17" i="9" s="1"/>
  <c r="M17" i="9"/>
  <c r="P17" i="9" s="1"/>
  <c r="K17" i="9"/>
  <c r="E17" i="9"/>
  <c r="D17" i="9"/>
  <c r="F17" i="9" s="1"/>
  <c r="T16" i="9"/>
  <c r="W16" i="9" s="1"/>
  <c r="M16" i="9"/>
  <c r="P16" i="9" s="1"/>
  <c r="K16" i="9"/>
  <c r="E16" i="9"/>
  <c r="D16" i="9"/>
  <c r="F16" i="9" s="1"/>
  <c r="T15" i="9"/>
  <c r="W15" i="9" s="1"/>
  <c r="M15" i="9"/>
  <c r="P15" i="9" s="1"/>
  <c r="K15" i="9"/>
  <c r="E15" i="9"/>
  <c r="D15" i="9"/>
  <c r="F15" i="9" s="1"/>
  <c r="T14" i="9"/>
  <c r="W14" i="9" s="1"/>
  <c r="M14" i="9"/>
  <c r="P14" i="9" s="1"/>
  <c r="K14" i="9"/>
  <c r="E14" i="9"/>
  <c r="D14" i="9"/>
  <c r="F14" i="9" s="1"/>
  <c r="T13" i="9"/>
  <c r="W13" i="9" s="1"/>
  <c r="M13" i="9"/>
  <c r="P13" i="9" s="1"/>
  <c r="K13" i="9"/>
  <c r="E13" i="9"/>
  <c r="D13" i="9"/>
  <c r="F13" i="9" s="1"/>
  <c r="T12" i="9"/>
  <c r="W12" i="9" s="1"/>
  <c r="M12" i="9"/>
  <c r="P12" i="9" s="1"/>
  <c r="K12" i="9"/>
  <c r="E12" i="9"/>
  <c r="D12" i="9"/>
  <c r="F12" i="9" s="1"/>
  <c r="T11" i="9"/>
  <c r="W11" i="9" s="1"/>
  <c r="M11" i="9"/>
  <c r="P11" i="9" s="1"/>
  <c r="K11" i="9"/>
  <c r="E11" i="9"/>
  <c r="D11" i="9"/>
  <c r="F11" i="9" s="1"/>
  <c r="W10" i="9"/>
  <c r="P10" i="9"/>
  <c r="T9" i="9"/>
  <c r="W9" i="9" s="1"/>
  <c r="M9" i="9"/>
  <c r="P9" i="9" s="1"/>
  <c r="K9" i="9"/>
  <c r="E9" i="9"/>
  <c r="D9" i="9"/>
  <c r="F9" i="9" s="1"/>
  <c r="T8" i="9"/>
  <c r="W8" i="9" s="1"/>
  <c r="M8" i="9"/>
  <c r="P8" i="9" s="1"/>
  <c r="K8" i="9"/>
  <c r="E8" i="9"/>
  <c r="D8" i="9"/>
  <c r="F8" i="9" s="1"/>
  <c r="T7" i="9"/>
  <c r="W7" i="9" s="1"/>
  <c r="M7" i="9"/>
  <c r="P7" i="9" s="1"/>
  <c r="K7" i="9"/>
  <c r="E7" i="9"/>
  <c r="D7" i="9"/>
  <c r="F7" i="9" s="1"/>
  <c r="F23" i="9" l="1"/>
  <c r="P23" i="9"/>
  <c r="T23" i="7"/>
  <c r="W23" i="7" s="1"/>
  <c r="M23" i="7"/>
  <c r="P23" i="7" s="1"/>
  <c r="K23" i="7"/>
  <c r="E23" i="7"/>
  <c r="D23" i="7"/>
  <c r="F23" i="7" s="1"/>
  <c r="T22" i="7"/>
  <c r="W22" i="7" s="1"/>
  <c r="M22" i="7"/>
  <c r="P22" i="7" s="1"/>
  <c r="K22" i="7"/>
  <c r="E22" i="7"/>
  <c r="D22" i="7"/>
  <c r="F22" i="7" s="1"/>
  <c r="T21" i="7"/>
  <c r="W21" i="7" s="1"/>
  <c r="M21" i="7"/>
  <c r="P21" i="7" s="1"/>
  <c r="K21" i="7"/>
  <c r="E21" i="7"/>
  <c r="D21" i="7"/>
  <c r="F21" i="7" s="1"/>
  <c r="T20" i="7"/>
  <c r="W20" i="7" s="1"/>
  <c r="M20" i="7"/>
  <c r="P20" i="7" s="1"/>
  <c r="K20" i="7"/>
  <c r="E20" i="7"/>
  <c r="D20" i="7"/>
  <c r="F20" i="7" s="1"/>
  <c r="T19" i="7"/>
  <c r="W19" i="7" s="1"/>
  <c r="M19" i="7"/>
  <c r="P19" i="7" s="1"/>
  <c r="K19" i="7"/>
  <c r="E19" i="7"/>
  <c r="D19" i="7"/>
  <c r="F19" i="7" s="1"/>
  <c r="T18" i="7"/>
  <c r="W18" i="7" s="1"/>
  <c r="M18" i="7"/>
  <c r="P18" i="7" s="1"/>
  <c r="K18" i="7"/>
  <c r="E18" i="7"/>
  <c r="D18" i="7"/>
  <c r="F18" i="7" s="1"/>
  <c r="T17" i="7"/>
  <c r="W17" i="7" s="1"/>
  <c r="M17" i="7"/>
  <c r="P17" i="7" s="1"/>
  <c r="K17" i="7"/>
  <c r="E17" i="7"/>
  <c r="D17" i="7"/>
  <c r="F17" i="7" s="1"/>
  <c r="T16" i="7"/>
  <c r="W16" i="7" s="1"/>
  <c r="M16" i="7"/>
  <c r="P16" i="7" s="1"/>
  <c r="K16" i="7"/>
  <c r="E16" i="7"/>
  <c r="D16" i="7"/>
  <c r="F16" i="7" s="1"/>
  <c r="T15" i="7"/>
  <c r="W15" i="7" s="1"/>
  <c r="M15" i="7"/>
  <c r="P15" i="7" s="1"/>
  <c r="K15" i="7"/>
  <c r="E15" i="7"/>
  <c r="D15" i="7"/>
  <c r="F15" i="7" s="1"/>
  <c r="T14" i="7"/>
  <c r="W14" i="7" s="1"/>
  <c r="M14" i="7"/>
  <c r="P14" i="7" s="1"/>
  <c r="K14" i="7"/>
  <c r="E14" i="7"/>
  <c r="D14" i="7"/>
  <c r="F14" i="7" s="1"/>
  <c r="T13" i="7"/>
  <c r="W13" i="7" s="1"/>
  <c r="M13" i="7"/>
  <c r="P13" i="7" s="1"/>
  <c r="K13" i="7"/>
  <c r="E13" i="7"/>
  <c r="D13" i="7"/>
  <c r="F13" i="7" s="1"/>
  <c r="T12" i="7"/>
  <c r="W12" i="7" s="1"/>
  <c r="P12" i="7"/>
  <c r="K12" i="7"/>
  <c r="E12" i="7"/>
  <c r="D12" i="7"/>
  <c r="F12" i="7" s="1"/>
  <c r="T11" i="7"/>
  <c r="W11" i="7" s="1"/>
  <c r="M11" i="7"/>
  <c r="P11" i="7" s="1"/>
  <c r="K11" i="7"/>
  <c r="E11" i="7"/>
  <c r="D11" i="7"/>
  <c r="F11" i="7" s="1"/>
  <c r="W10" i="7"/>
  <c r="P10" i="7"/>
  <c r="T9" i="7"/>
  <c r="W9" i="7" s="1"/>
  <c r="M9" i="7"/>
  <c r="P9" i="7" s="1"/>
  <c r="K9" i="7"/>
  <c r="E9" i="7"/>
  <c r="D9" i="7"/>
  <c r="F9" i="7" s="1"/>
  <c r="T8" i="7"/>
  <c r="W8" i="7" s="1"/>
  <c r="M8" i="7"/>
  <c r="P8" i="7" s="1"/>
  <c r="K8" i="7"/>
  <c r="E8" i="7"/>
  <c r="D8" i="7"/>
  <c r="F8" i="7" s="1"/>
  <c r="T7" i="7"/>
  <c r="W7" i="7" s="1"/>
  <c r="M7" i="7"/>
  <c r="P7" i="7" s="1"/>
  <c r="K7" i="7"/>
  <c r="E7" i="7"/>
  <c r="D7" i="7"/>
  <c r="F7" i="7" s="1"/>
  <c r="T23" i="6" l="1"/>
  <c r="W23" i="6" s="1"/>
  <c r="O23" i="6"/>
  <c r="E23" i="6" s="1"/>
  <c r="L23" i="6"/>
  <c r="M23" i="6" s="1"/>
  <c r="K23" i="6"/>
  <c r="C23" i="6"/>
  <c r="D23" i="6" s="1"/>
  <c r="T22" i="6"/>
  <c r="W22" i="6" s="1"/>
  <c r="M22" i="6"/>
  <c r="P22" i="6" s="1"/>
  <c r="K22" i="6"/>
  <c r="E22" i="6"/>
  <c r="D22" i="6"/>
  <c r="F22" i="6" s="1"/>
  <c r="T21" i="6"/>
  <c r="W21" i="6" s="1"/>
  <c r="M21" i="6"/>
  <c r="P21" i="6" s="1"/>
  <c r="K21" i="6"/>
  <c r="E21" i="6"/>
  <c r="D21" i="6"/>
  <c r="F21" i="6" s="1"/>
  <c r="T20" i="6"/>
  <c r="W20" i="6" s="1"/>
  <c r="M20" i="6"/>
  <c r="P20" i="6" s="1"/>
  <c r="K20" i="6"/>
  <c r="E20" i="6"/>
  <c r="D20" i="6"/>
  <c r="F20" i="6" s="1"/>
  <c r="T19" i="6"/>
  <c r="W19" i="6" s="1"/>
  <c r="M19" i="6"/>
  <c r="P19" i="6" s="1"/>
  <c r="K19" i="6"/>
  <c r="E19" i="6"/>
  <c r="D19" i="6"/>
  <c r="F19" i="6" s="1"/>
  <c r="T18" i="6"/>
  <c r="W18" i="6" s="1"/>
  <c r="M18" i="6"/>
  <c r="P18" i="6" s="1"/>
  <c r="K18" i="6"/>
  <c r="E18" i="6"/>
  <c r="D18" i="6"/>
  <c r="F18" i="6" s="1"/>
  <c r="T17" i="6"/>
  <c r="W17" i="6" s="1"/>
  <c r="M17" i="6"/>
  <c r="P17" i="6" s="1"/>
  <c r="K17" i="6"/>
  <c r="E17" i="6"/>
  <c r="D17" i="6"/>
  <c r="F17" i="6" s="1"/>
  <c r="T16" i="6"/>
  <c r="W16" i="6" s="1"/>
  <c r="M16" i="6"/>
  <c r="P16" i="6" s="1"/>
  <c r="K16" i="6"/>
  <c r="E16" i="6"/>
  <c r="D16" i="6"/>
  <c r="F16" i="6" s="1"/>
  <c r="T15" i="6"/>
  <c r="W15" i="6" s="1"/>
  <c r="M15" i="6"/>
  <c r="P15" i="6" s="1"/>
  <c r="K15" i="6"/>
  <c r="E15" i="6"/>
  <c r="D15" i="6"/>
  <c r="F15" i="6" s="1"/>
  <c r="T14" i="6"/>
  <c r="W14" i="6" s="1"/>
  <c r="M14" i="6"/>
  <c r="P14" i="6" s="1"/>
  <c r="K14" i="6"/>
  <c r="E14" i="6"/>
  <c r="D14" i="6"/>
  <c r="F14" i="6" s="1"/>
  <c r="T13" i="6"/>
  <c r="W13" i="6" s="1"/>
  <c r="M13" i="6"/>
  <c r="P13" i="6" s="1"/>
  <c r="K13" i="6"/>
  <c r="E13" i="6"/>
  <c r="D13" i="6"/>
  <c r="F13" i="6" s="1"/>
  <c r="T12" i="6"/>
  <c r="W12" i="6" s="1"/>
  <c r="M12" i="6"/>
  <c r="P12" i="6" s="1"/>
  <c r="K12" i="6"/>
  <c r="E12" i="6"/>
  <c r="D12" i="6"/>
  <c r="F12" i="6" s="1"/>
  <c r="W11" i="6"/>
  <c r="P11" i="6"/>
  <c r="W10" i="6"/>
  <c r="P10" i="6"/>
  <c r="T9" i="6"/>
  <c r="W9" i="6" s="1"/>
  <c r="M9" i="6"/>
  <c r="P9" i="6" s="1"/>
  <c r="K9" i="6"/>
  <c r="E9" i="6"/>
  <c r="D9" i="6"/>
  <c r="F9" i="6" s="1"/>
  <c r="T8" i="6"/>
  <c r="W8" i="6" s="1"/>
  <c r="M8" i="6"/>
  <c r="P8" i="6" s="1"/>
  <c r="K8" i="6"/>
  <c r="E8" i="6"/>
  <c r="D8" i="6"/>
  <c r="F8" i="6" s="1"/>
  <c r="T7" i="6"/>
  <c r="W7" i="6" s="1"/>
  <c r="M7" i="6"/>
  <c r="P7" i="6" s="1"/>
  <c r="K7" i="6"/>
  <c r="E7" i="6"/>
  <c r="D7" i="6"/>
  <c r="F7" i="6" s="1"/>
  <c r="P23" i="6" l="1"/>
  <c r="F23" i="6"/>
  <c r="T23" i="4"/>
  <c r="W23" i="4" s="1"/>
  <c r="O23" i="4"/>
  <c r="E23" i="4" s="1"/>
  <c r="L23" i="4"/>
  <c r="M23" i="4" s="1"/>
  <c r="K23" i="4"/>
  <c r="D23" i="4"/>
  <c r="T22" i="4"/>
  <c r="W22" i="4" s="1"/>
  <c r="O22" i="4"/>
  <c r="E22" i="4" s="1"/>
  <c r="M22" i="4"/>
  <c r="K22" i="4"/>
  <c r="D22" i="4"/>
  <c r="T21" i="4"/>
  <c r="W21" i="4" s="1"/>
  <c r="M21" i="4"/>
  <c r="P21" i="4" s="1"/>
  <c r="K21" i="4"/>
  <c r="E21" i="4"/>
  <c r="D21" i="4"/>
  <c r="F21" i="4" s="1"/>
  <c r="T20" i="4"/>
  <c r="W20" i="4" s="1"/>
  <c r="M20" i="4"/>
  <c r="P20" i="4" s="1"/>
  <c r="K20" i="4"/>
  <c r="E20" i="4"/>
  <c r="D20" i="4"/>
  <c r="F20" i="4" s="1"/>
  <c r="T19" i="4"/>
  <c r="W19" i="4" s="1"/>
  <c r="M19" i="4"/>
  <c r="P19" i="4" s="1"/>
  <c r="K19" i="4"/>
  <c r="E19" i="4"/>
  <c r="D19" i="4"/>
  <c r="F19" i="4" s="1"/>
  <c r="T18" i="4"/>
  <c r="W18" i="4" s="1"/>
  <c r="M18" i="4"/>
  <c r="P18" i="4" s="1"/>
  <c r="K18" i="4"/>
  <c r="E18" i="4"/>
  <c r="D18" i="4"/>
  <c r="F18" i="4" s="1"/>
  <c r="T17" i="4"/>
  <c r="W17" i="4" s="1"/>
  <c r="M17" i="4"/>
  <c r="P17" i="4" s="1"/>
  <c r="K17" i="4"/>
  <c r="E17" i="4"/>
  <c r="D17" i="4"/>
  <c r="F17" i="4" s="1"/>
  <c r="T16" i="4"/>
  <c r="W16" i="4" s="1"/>
  <c r="M16" i="4"/>
  <c r="P16" i="4" s="1"/>
  <c r="K16" i="4"/>
  <c r="E16" i="4"/>
  <c r="D16" i="4"/>
  <c r="F16" i="4" s="1"/>
  <c r="T15" i="4"/>
  <c r="W15" i="4" s="1"/>
  <c r="M15" i="4"/>
  <c r="P15" i="4" s="1"/>
  <c r="K15" i="4"/>
  <c r="E15" i="4"/>
  <c r="D15" i="4"/>
  <c r="F15" i="4" s="1"/>
  <c r="T14" i="4"/>
  <c r="W14" i="4" s="1"/>
  <c r="M14" i="4"/>
  <c r="P14" i="4" s="1"/>
  <c r="K14" i="4"/>
  <c r="E14" i="4"/>
  <c r="D14" i="4"/>
  <c r="F14" i="4" s="1"/>
  <c r="T13" i="4"/>
  <c r="W13" i="4" s="1"/>
  <c r="M13" i="4"/>
  <c r="P13" i="4" s="1"/>
  <c r="K13" i="4"/>
  <c r="E13" i="4"/>
  <c r="D13" i="4"/>
  <c r="F13" i="4" s="1"/>
  <c r="T12" i="4"/>
  <c r="W12" i="4" s="1"/>
  <c r="M12" i="4"/>
  <c r="P12" i="4" s="1"/>
  <c r="K12" i="4"/>
  <c r="E12" i="4"/>
  <c r="D12" i="4"/>
  <c r="F12" i="4" s="1"/>
  <c r="T11" i="4"/>
  <c r="W11" i="4" s="1"/>
  <c r="M11" i="4"/>
  <c r="P11" i="4" s="1"/>
  <c r="K11" i="4"/>
  <c r="E11" i="4"/>
  <c r="D11" i="4"/>
  <c r="F11" i="4" s="1"/>
  <c r="W10" i="4"/>
  <c r="P10" i="4"/>
  <c r="T9" i="4"/>
  <c r="W9" i="4" s="1"/>
  <c r="M9" i="4"/>
  <c r="P9" i="4" s="1"/>
  <c r="K9" i="4"/>
  <c r="E9" i="4"/>
  <c r="D9" i="4"/>
  <c r="F9" i="4" s="1"/>
  <c r="T8" i="4"/>
  <c r="W8" i="4" s="1"/>
  <c r="M8" i="4"/>
  <c r="P8" i="4" s="1"/>
  <c r="K8" i="4"/>
  <c r="E8" i="4"/>
  <c r="D8" i="4"/>
  <c r="F8" i="4" s="1"/>
  <c r="T7" i="4"/>
  <c r="W7" i="4" s="1"/>
  <c r="M7" i="4"/>
  <c r="P7" i="4" s="1"/>
  <c r="K7" i="4"/>
  <c r="E7" i="4"/>
  <c r="D7" i="4"/>
  <c r="F7" i="4" s="1"/>
  <c r="P23" i="4" l="1"/>
  <c r="F23" i="4"/>
  <c r="P22" i="4"/>
  <c r="F22" i="4"/>
  <c r="T23" i="56"/>
  <c r="W23" i="56" s="1"/>
  <c r="M23" i="56"/>
  <c r="P23" i="56" s="1"/>
  <c r="K23" i="56"/>
  <c r="E23" i="56"/>
  <c r="C23" i="56"/>
  <c r="D23" i="56" s="1"/>
  <c r="F23" i="56" s="1"/>
  <c r="T22" i="56"/>
  <c r="W22" i="56" s="1"/>
  <c r="M22" i="56"/>
  <c r="P22" i="56" s="1"/>
  <c r="K22" i="56"/>
  <c r="E22" i="56"/>
  <c r="D22" i="56"/>
  <c r="F22" i="56" s="1"/>
  <c r="T21" i="56"/>
  <c r="W21" i="56" s="1"/>
  <c r="M21" i="56"/>
  <c r="P21" i="56" s="1"/>
  <c r="K21" i="56"/>
  <c r="E21" i="56"/>
  <c r="D21" i="56"/>
  <c r="F21" i="56" s="1"/>
  <c r="T20" i="56"/>
  <c r="W20" i="56" s="1"/>
  <c r="M20" i="56"/>
  <c r="P20" i="56" s="1"/>
  <c r="K20" i="56"/>
  <c r="E20" i="56"/>
  <c r="D20" i="56"/>
  <c r="F20" i="56" s="1"/>
  <c r="T19" i="56"/>
  <c r="W19" i="56" s="1"/>
  <c r="M19" i="56"/>
  <c r="P19" i="56" s="1"/>
  <c r="K19" i="56"/>
  <c r="E19" i="56"/>
  <c r="D19" i="56"/>
  <c r="F19" i="56" s="1"/>
  <c r="T18" i="56"/>
  <c r="W18" i="56" s="1"/>
  <c r="P18" i="56"/>
  <c r="K18" i="56"/>
  <c r="E18" i="56"/>
  <c r="D18" i="56"/>
  <c r="F18" i="56" s="1"/>
  <c r="T17" i="56"/>
  <c r="W17" i="56" s="1"/>
  <c r="M17" i="56"/>
  <c r="P17" i="56" s="1"/>
  <c r="K17" i="56"/>
  <c r="E17" i="56"/>
  <c r="D17" i="56"/>
  <c r="F17" i="56" s="1"/>
  <c r="T16" i="56"/>
  <c r="W16" i="56" s="1"/>
  <c r="M16" i="56"/>
  <c r="P16" i="56" s="1"/>
  <c r="K16" i="56"/>
  <c r="E16" i="56"/>
  <c r="D16" i="56"/>
  <c r="F16" i="56" s="1"/>
  <c r="T15" i="56"/>
  <c r="W15" i="56" s="1"/>
  <c r="M15" i="56"/>
  <c r="P15" i="56" s="1"/>
  <c r="K15" i="56"/>
  <c r="E15" i="56"/>
  <c r="D15" i="56"/>
  <c r="F15" i="56" s="1"/>
  <c r="T14" i="56"/>
  <c r="W14" i="56" s="1"/>
  <c r="P14" i="56"/>
  <c r="K14" i="56"/>
  <c r="E14" i="56"/>
  <c r="D14" i="56"/>
  <c r="F14" i="56" s="1"/>
  <c r="T13" i="56"/>
  <c r="W13" i="56" s="1"/>
  <c r="P13" i="56"/>
  <c r="K13" i="56"/>
  <c r="E13" i="56"/>
  <c r="D13" i="56"/>
  <c r="T12" i="56"/>
  <c r="W12" i="56" s="1"/>
  <c r="P12" i="56"/>
  <c r="D12" i="56"/>
  <c r="T11" i="56"/>
  <c r="W11" i="56" s="1"/>
  <c r="P11" i="56"/>
  <c r="E11" i="56"/>
  <c r="D11" i="56"/>
  <c r="W10" i="56"/>
  <c r="P10" i="56"/>
  <c r="T9" i="56"/>
  <c r="W9" i="56" s="1"/>
  <c r="M9" i="56"/>
  <c r="P9" i="56" s="1"/>
  <c r="K9" i="56"/>
  <c r="E9" i="56"/>
  <c r="D9" i="56"/>
  <c r="F9" i="56" s="1"/>
  <c r="T8" i="56"/>
  <c r="W8" i="56" s="1"/>
  <c r="M8" i="56"/>
  <c r="P8" i="56" s="1"/>
  <c r="K8" i="56"/>
  <c r="E8" i="56"/>
  <c r="D8" i="56"/>
  <c r="F8" i="56" s="1"/>
  <c r="T7" i="56"/>
  <c r="W7" i="56" s="1"/>
  <c r="M7" i="56"/>
  <c r="P7" i="56" s="1"/>
  <c r="K7" i="56"/>
  <c r="E7" i="56"/>
  <c r="D7" i="56"/>
  <c r="F7" i="56" s="1"/>
  <c r="T23" i="53" l="1"/>
  <c r="W23" i="53" s="1"/>
  <c r="O23" i="53"/>
  <c r="E23" i="53" s="1"/>
  <c r="L23" i="53"/>
  <c r="M23" i="53" s="1"/>
  <c r="K23" i="53"/>
  <c r="D23" i="53"/>
  <c r="T22" i="53"/>
  <c r="W22" i="53" s="1"/>
  <c r="M22" i="53"/>
  <c r="P22" i="53" s="1"/>
  <c r="K22" i="53"/>
  <c r="E22" i="53"/>
  <c r="D22" i="53"/>
  <c r="F22" i="53" s="1"/>
  <c r="T21" i="53"/>
  <c r="W21" i="53" s="1"/>
  <c r="M21" i="53"/>
  <c r="P21" i="53" s="1"/>
  <c r="K21" i="53"/>
  <c r="E21" i="53"/>
  <c r="D21" i="53"/>
  <c r="F21" i="53" s="1"/>
  <c r="T20" i="53"/>
  <c r="W20" i="53" s="1"/>
  <c r="M20" i="53"/>
  <c r="P20" i="53" s="1"/>
  <c r="K20" i="53"/>
  <c r="E20" i="53"/>
  <c r="D20" i="53"/>
  <c r="F20" i="53" s="1"/>
  <c r="T19" i="53"/>
  <c r="W19" i="53" s="1"/>
  <c r="M19" i="53"/>
  <c r="P19" i="53" s="1"/>
  <c r="K19" i="53"/>
  <c r="E19" i="53"/>
  <c r="D19" i="53"/>
  <c r="F19" i="53" s="1"/>
  <c r="T18" i="53"/>
  <c r="W18" i="53" s="1"/>
  <c r="M18" i="53"/>
  <c r="P18" i="53" s="1"/>
  <c r="K18" i="53"/>
  <c r="E18" i="53"/>
  <c r="D18" i="53"/>
  <c r="F18" i="53" s="1"/>
  <c r="T17" i="53"/>
  <c r="W17" i="53" s="1"/>
  <c r="M17" i="53"/>
  <c r="P17" i="53" s="1"/>
  <c r="K17" i="53"/>
  <c r="E17" i="53"/>
  <c r="D17" i="53"/>
  <c r="F17" i="53" s="1"/>
  <c r="T16" i="53"/>
  <c r="W16" i="53" s="1"/>
  <c r="M16" i="53"/>
  <c r="P16" i="53" s="1"/>
  <c r="K16" i="53"/>
  <c r="E16" i="53"/>
  <c r="D16" i="53"/>
  <c r="F16" i="53" s="1"/>
  <c r="T15" i="53"/>
  <c r="W15" i="53" s="1"/>
  <c r="M15" i="53"/>
  <c r="P15" i="53" s="1"/>
  <c r="K15" i="53"/>
  <c r="E15" i="53"/>
  <c r="D15" i="53"/>
  <c r="F15" i="53" s="1"/>
  <c r="T14" i="53"/>
  <c r="W14" i="53" s="1"/>
  <c r="M14" i="53"/>
  <c r="P14" i="53" s="1"/>
  <c r="K14" i="53"/>
  <c r="E14" i="53"/>
  <c r="D14" i="53"/>
  <c r="F14" i="53" s="1"/>
  <c r="T13" i="53"/>
  <c r="W13" i="53" s="1"/>
  <c r="M13" i="53"/>
  <c r="P13" i="53" s="1"/>
  <c r="K13" i="53"/>
  <c r="E13" i="53"/>
  <c r="D13" i="53"/>
  <c r="F13" i="53" s="1"/>
  <c r="T12" i="53"/>
  <c r="W12" i="53" s="1"/>
  <c r="M12" i="53"/>
  <c r="P12" i="53" s="1"/>
  <c r="K12" i="53"/>
  <c r="E12" i="53"/>
  <c r="D12" i="53"/>
  <c r="F12" i="53" s="1"/>
  <c r="T11" i="53"/>
  <c r="W11" i="53" s="1"/>
  <c r="M11" i="53"/>
  <c r="P11" i="53" s="1"/>
  <c r="K11" i="53"/>
  <c r="E11" i="53"/>
  <c r="D11" i="53"/>
  <c r="F11" i="53" s="1"/>
  <c r="W10" i="53"/>
  <c r="P10" i="53"/>
  <c r="T9" i="53"/>
  <c r="W9" i="53" s="1"/>
  <c r="M9" i="53"/>
  <c r="P9" i="53" s="1"/>
  <c r="K9" i="53"/>
  <c r="E9" i="53"/>
  <c r="D9" i="53"/>
  <c r="F9" i="53" s="1"/>
  <c r="T8" i="53"/>
  <c r="W8" i="53" s="1"/>
  <c r="M8" i="53"/>
  <c r="P8" i="53" s="1"/>
  <c r="K8" i="53"/>
  <c r="E8" i="53"/>
  <c r="D8" i="53"/>
  <c r="F8" i="53" s="1"/>
  <c r="T7" i="53"/>
  <c r="W7" i="53" s="1"/>
  <c r="M7" i="53"/>
  <c r="P7" i="53" s="1"/>
  <c r="K7" i="53"/>
  <c r="E7" i="53"/>
  <c r="D7" i="53"/>
  <c r="F7" i="53" s="1"/>
  <c r="P23" i="53" l="1"/>
  <c r="F23" i="53"/>
  <c r="T23" i="52"/>
  <c r="W23" i="52" s="1"/>
  <c r="O23" i="52"/>
  <c r="E23" i="52" s="1"/>
  <c r="L23" i="52"/>
  <c r="M23" i="52" s="1"/>
  <c r="K23" i="52"/>
  <c r="D23" i="52"/>
  <c r="T22" i="52"/>
  <c r="W22" i="52" s="1"/>
  <c r="M22" i="52"/>
  <c r="P22" i="52" s="1"/>
  <c r="K22" i="52"/>
  <c r="E22" i="52"/>
  <c r="D22" i="52"/>
  <c r="F22" i="52" s="1"/>
  <c r="T21" i="52"/>
  <c r="W21" i="52" s="1"/>
  <c r="M21" i="52"/>
  <c r="P21" i="52" s="1"/>
  <c r="K21" i="52"/>
  <c r="F21" i="52"/>
  <c r="E21" i="52"/>
  <c r="D21" i="52"/>
  <c r="T20" i="52"/>
  <c r="W20" i="52" s="1"/>
  <c r="M20" i="52"/>
  <c r="P20" i="52" s="1"/>
  <c r="K20" i="52"/>
  <c r="E20" i="52"/>
  <c r="D20" i="52"/>
  <c r="F20" i="52" s="1"/>
  <c r="T19" i="52"/>
  <c r="W19" i="52" s="1"/>
  <c r="M19" i="52"/>
  <c r="P19" i="52" s="1"/>
  <c r="K19" i="52"/>
  <c r="E19" i="52"/>
  <c r="D19" i="52"/>
  <c r="F19" i="52" s="1"/>
  <c r="T18" i="52"/>
  <c r="W18" i="52" s="1"/>
  <c r="M18" i="52"/>
  <c r="P18" i="52" s="1"/>
  <c r="K18" i="52"/>
  <c r="E18" i="52"/>
  <c r="D18" i="52"/>
  <c r="F18" i="52" s="1"/>
  <c r="T17" i="52"/>
  <c r="W17" i="52" s="1"/>
  <c r="M17" i="52"/>
  <c r="P17" i="52" s="1"/>
  <c r="K17" i="52"/>
  <c r="E17" i="52"/>
  <c r="D17" i="52"/>
  <c r="F17" i="52" s="1"/>
  <c r="T16" i="52"/>
  <c r="W16" i="52" s="1"/>
  <c r="M16" i="52"/>
  <c r="P16" i="52" s="1"/>
  <c r="K16" i="52"/>
  <c r="E16" i="52"/>
  <c r="D16" i="52"/>
  <c r="F16" i="52" s="1"/>
  <c r="T15" i="52"/>
  <c r="W15" i="52" s="1"/>
  <c r="M15" i="52"/>
  <c r="P15" i="52" s="1"/>
  <c r="K15" i="52"/>
  <c r="E15" i="52"/>
  <c r="D15" i="52"/>
  <c r="F15" i="52" s="1"/>
  <c r="T14" i="52"/>
  <c r="W14" i="52" s="1"/>
  <c r="M14" i="52"/>
  <c r="P14" i="52" s="1"/>
  <c r="K14" i="52"/>
  <c r="E14" i="52"/>
  <c r="D14" i="52"/>
  <c r="F14" i="52" s="1"/>
  <c r="T13" i="52"/>
  <c r="W13" i="52" s="1"/>
  <c r="M13" i="52"/>
  <c r="P13" i="52" s="1"/>
  <c r="K13" i="52"/>
  <c r="E13" i="52"/>
  <c r="D13" i="52"/>
  <c r="F13" i="52" s="1"/>
  <c r="T12" i="52"/>
  <c r="W12" i="52" s="1"/>
  <c r="M12" i="52"/>
  <c r="P12" i="52" s="1"/>
  <c r="K12" i="52"/>
  <c r="E12" i="52"/>
  <c r="D12" i="52"/>
  <c r="F12" i="52" s="1"/>
  <c r="T11" i="52"/>
  <c r="W11" i="52" s="1"/>
  <c r="M11" i="52"/>
  <c r="P11" i="52" s="1"/>
  <c r="K11" i="52"/>
  <c r="E11" i="52"/>
  <c r="D11" i="52"/>
  <c r="F11" i="52" s="1"/>
  <c r="W10" i="52"/>
  <c r="P10" i="52"/>
  <c r="T9" i="52"/>
  <c r="W9" i="52" s="1"/>
  <c r="M9" i="52"/>
  <c r="P9" i="52" s="1"/>
  <c r="K9" i="52"/>
  <c r="E9" i="52"/>
  <c r="D9" i="52"/>
  <c r="F9" i="52" s="1"/>
  <c r="T8" i="52"/>
  <c r="W8" i="52" s="1"/>
  <c r="M8" i="52"/>
  <c r="P8" i="52" s="1"/>
  <c r="K8" i="52"/>
  <c r="E8" i="52"/>
  <c r="D8" i="52"/>
  <c r="F8" i="52" s="1"/>
  <c r="T7" i="52"/>
  <c r="W7" i="52" s="1"/>
  <c r="M7" i="52"/>
  <c r="P7" i="52" s="1"/>
  <c r="K7" i="52"/>
  <c r="E7" i="52"/>
  <c r="D7" i="52"/>
  <c r="F7" i="52" s="1"/>
  <c r="P23" i="52" l="1"/>
  <c r="F23" i="52"/>
  <c r="T23" i="50"/>
  <c r="W23" i="50" s="1"/>
  <c r="O23" i="50"/>
  <c r="E23" i="50" s="1"/>
  <c r="L23" i="50"/>
  <c r="M23" i="50" s="1"/>
  <c r="P23" i="50" s="1"/>
  <c r="K23" i="50"/>
  <c r="D23" i="50"/>
  <c r="T22" i="50"/>
  <c r="W22" i="50" s="1"/>
  <c r="M22" i="50"/>
  <c r="P22" i="50" s="1"/>
  <c r="K22" i="50"/>
  <c r="E22" i="50"/>
  <c r="D22" i="50"/>
  <c r="F22" i="50" s="1"/>
  <c r="T21" i="50"/>
  <c r="W21" i="50" s="1"/>
  <c r="M21" i="50"/>
  <c r="P21" i="50" s="1"/>
  <c r="K21" i="50"/>
  <c r="E21" i="50"/>
  <c r="D21" i="50"/>
  <c r="F21" i="50" s="1"/>
  <c r="T20" i="50"/>
  <c r="W20" i="50" s="1"/>
  <c r="M20" i="50"/>
  <c r="P20" i="50" s="1"/>
  <c r="K20" i="50"/>
  <c r="E20" i="50"/>
  <c r="D20" i="50"/>
  <c r="F20" i="50" s="1"/>
  <c r="T19" i="50"/>
  <c r="W19" i="50" s="1"/>
  <c r="M19" i="50"/>
  <c r="P19" i="50" s="1"/>
  <c r="K19" i="50"/>
  <c r="E19" i="50"/>
  <c r="D19" i="50"/>
  <c r="F19" i="50" s="1"/>
  <c r="T18" i="50"/>
  <c r="W18" i="50" s="1"/>
  <c r="M18" i="50"/>
  <c r="P18" i="50" s="1"/>
  <c r="K18" i="50"/>
  <c r="E18" i="50"/>
  <c r="D18" i="50"/>
  <c r="F18" i="50" s="1"/>
  <c r="T17" i="50"/>
  <c r="W17" i="50" s="1"/>
  <c r="M17" i="50"/>
  <c r="P17" i="50" s="1"/>
  <c r="K17" i="50"/>
  <c r="E17" i="50"/>
  <c r="D17" i="50"/>
  <c r="F17" i="50" s="1"/>
  <c r="T16" i="50"/>
  <c r="W16" i="50" s="1"/>
  <c r="M16" i="50"/>
  <c r="P16" i="50" s="1"/>
  <c r="K16" i="50"/>
  <c r="E16" i="50"/>
  <c r="D16" i="50"/>
  <c r="F16" i="50" s="1"/>
  <c r="T15" i="50"/>
  <c r="W15" i="50" s="1"/>
  <c r="M15" i="50"/>
  <c r="P15" i="50" s="1"/>
  <c r="K15" i="50"/>
  <c r="E15" i="50"/>
  <c r="D15" i="50"/>
  <c r="F15" i="50" s="1"/>
  <c r="T14" i="50"/>
  <c r="W14" i="50" s="1"/>
  <c r="M14" i="50"/>
  <c r="P14" i="50" s="1"/>
  <c r="K14" i="50"/>
  <c r="E14" i="50"/>
  <c r="D14" i="50"/>
  <c r="F14" i="50" s="1"/>
  <c r="T13" i="50"/>
  <c r="W13" i="50" s="1"/>
  <c r="M13" i="50"/>
  <c r="P13" i="50" s="1"/>
  <c r="K13" i="50"/>
  <c r="E13" i="50"/>
  <c r="D13" i="50"/>
  <c r="F13" i="50" s="1"/>
  <c r="T12" i="50"/>
  <c r="W12" i="50" s="1"/>
  <c r="M12" i="50"/>
  <c r="P12" i="50" s="1"/>
  <c r="K12" i="50"/>
  <c r="E12" i="50"/>
  <c r="D12" i="50"/>
  <c r="F12" i="50" s="1"/>
  <c r="T11" i="50"/>
  <c r="W11" i="50" s="1"/>
  <c r="M11" i="50"/>
  <c r="P11" i="50" s="1"/>
  <c r="K11" i="50"/>
  <c r="E11" i="50"/>
  <c r="D11" i="50"/>
  <c r="F11" i="50" s="1"/>
  <c r="W10" i="50"/>
  <c r="P10" i="50"/>
  <c r="T9" i="50"/>
  <c r="W9" i="50" s="1"/>
  <c r="M9" i="50"/>
  <c r="P9" i="50" s="1"/>
  <c r="K9" i="50"/>
  <c r="E9" i="50"/>
  <c r="D9" i="50"/>
  <c r="F9" i="50" s="1"/>
  <c r="T8" i="50"/>
  <c r="W8" i="50" s="1"/>
  <c r="M8" i="50"/>
  <c r="P8" i="50" s="1"/>
  <c r="K8" i="50"/>
  <c r="E8" i="50"/>
  <c r="D8" i="50"/>
  <c r="F8" i="50" s="1"/>
  <c r="T7" i="50"/>
  <c r="W7" i="50" s="1"/>
  <c r="M7" i="50"/>
  <c r="P7" i="50" s="1"/>
  <c r="K7" i="50"/>
  <c r="E7" i="50"/>
  <c r="D7" i="50"/>
  <c r="F7" i="50" s="1"/>
  <c r="F23" i="50" l="1"/>
  <c r="T23" i="57"/>
  <c r="W23" i="57" s="1"/>
  <c r="O23" i="57"/>
  <c r="E23" i="57" s="1"/>
  <c r="M23" i="57"/>
  <c r="K23" i="57"/>
  <c r="D23" i="57"/>
  <c r="T22" i="57"/>
  <c r="W22" i="57" s="1"/>
  <c r="M22" i="57"/>
  <c r="P22" i="57" s="1"/>
  <c r="K22" i="57"/>
  <c r="E22" i="57"/>
  <c r="D22" i="57"/>
  <c r="F22" i="57" s="1"/>
  <c r="T21" i="57"/>
  <c r="W21" i="57" s="1"/>
  <c r="M21" i="57"/>
  <c r="P21" i="57" s="1"/>
  <c r="K21" i="57"/>
  <c r="E21" i="57"/>
  <c r="D21" i="57"/>
  <c r="F21" i="57" s="1"/>
  <c r="T20" i="57"/>
  <c r="W20" i="57" s="1"/>
  <c r="M20" i="57"/>
  <c r="P20" i="57" s="1"/>
  <c r="K20" i="57"/>
  <c r="E20" i="57"/>
  <c r="D20" i="57"/>
  <c r="F20" i="57" s="1"/>
  <c r="T19" i="57"/>
  <c r="W19" i="57" s="1"/>
  <c r="M19" i="57"/>
  <c r="P19" i="57" s="1"/>
  <c r="K19" i="57"/>
  <c r="E19" i="57"/>
  <c r="D19" i="57"/>
  <c r="F19" i="57" s="1"/>
  <c r="T18" i="57"/>
  <c r="W18" i="57" s="1"/>
  <c r="M18" i="57"/>
  <c r="P18" i="57" s="1"/>
  <c r="K18" i="57"/>
  <c r="E18" i="57"/>
  <c r="D18" i="57"/>
  <c r="F18" i="57" s="1"/>
  <c r="T17" i="57"/>
  <c r="W17" i="57" s="1"/>
  <c r="M17" i="57"/>
  <c r="P17" i="57" s="1"/>
  <c r="K17" i="57"/>
  <c r="E17" i="57"/>
  <c r="D17" i="57"/>
  <c r="F17" i="57" s="1"/>
  <c r="T16" i="57"/>
  <c r="W16" i="57" s="1"/>
  <c r="M16" i="57"/>
  <c r="P16" i="57" s="1"/>
  <c r="K16" i="57"/>
  <c r="E16" i="57"/>
  <c r="D16" i="57"/>
  <c r="F16" i="57" s="1"/>
  <c r="T15" i="57"/>
  <c r="W15" i="57" s="1"/>
  <c r="M15" i="57"/>
  <c r="P15" i="57" s="1"/>
  <c r="K15" i="57"/>
  <c r="E15" i="57"/>
  <c r="D15" i="57"/>
  <c r="F15" i="57" s="1"/>
  <c r="T14" i="57"/>
  <c r="W14" i="57" s="1"/>
  <c r="M14" i="57"/>
  <c r="P14" i="57" s="1"/>
  <c r="K14" i="57"/>
  <c r="E14" i="57"/>
  <c r="D14" i="57"/>
  <c r="F14" i="57" s="1"/>
  <c r="T13" i="57"/>
  <c r="W13" i="57" s="1"/>
  <c r="M13" i="57"/>
  <c r="P13" i="57" s="1"/>
  <c r="K13" i="57"/>
  <c r="E13" i="57"/>
  <c r="D13" i="57"/>
  <c r="F13" i="57" s="1"/>
  <c r="T12" i="57"/>
  <c r="W12" i="57" s="1"/>
  <c r="M12" i="57"/>
  <c r="P12" i="57" s="1"/>
  <c r="K12" i="57"/>
  <c r="E12" i="57"/>
  <c r="D12" i="57"/>
  <c r="F12" i="57" s="1"/>
  <c r="W11" i="57"/>
  <c r="P11" i="57"/>
  <c r="W10" i="57"/>
  <c r="P10" i="57"/>
  <c r="F10" i="57"/>
  <c r="E10" i="57"/>
  <c r="T9" i="57"/>
  <c r="W9" i="57" s="1"/>
  <c r="M9" i="57"/>
  <c r="P9" i="57" s="1"/>
  <c r="K9" i="57"/>
  <c r="E9" i="57"/>
  <c r="D9" i="57"/>
  <c r="F9" i="57" s="1"/>
  <c r="T8" i="57"/>
  <c r="W8" i="57" s="1"/>
  <c r="M8" i="57"/>
  <c r="P8" i="57" s="1"/>
  <c r="K8" i="57"/>
  <c r="E8" i="57"/>
  <c r="D8" i="57"/>
  <c r="F8" i="57" s="1"/>
  <c r="T7" i="57"/>
  <c r="W7" i="57" s="1"/>
  <c r="M7" i="57"/>
  <c r="P7" i="57" s="1"/>
  <c r="K7" i="57"/>
  <c r="E7" i="57"/>
  <c r="D7" i="57"/>
  <c r="F7" i="57" s="1"/>
  <c r="P23" i="57" l="1"/>
  <c r="F23" i="57"/>
  <c r="T23" i="40"/>
  <c r="W23" i="40" s="1"/>
  <c r="O23" i="40"/>
  <c r="E23" i="40" s="1"/>
  <c r="L23" i="40"/>
  <c r="M23" i="40" s="1"/>
  <c r="K23" i="40"/>
  <c r="D23" i="40"/>
  <c r="T22" i="40"/>
  <c r="W22" i="40" s="1"/>
  <c r="P22" i="40"/>
  <c r="K22" i="40"/>
  <c r="E22" i="40"/>
  <c r="D22" i="40"/>
  <c r="F22" i="40" s="1"/>
  <c r="T21" i="40"/>
  <c r="W21" i="40" s="1"/>
  <c r="M21" i="40"/>
  <c r="P21" i="40" s="1"/>
  <c r="K21" i="40"/>
  <c r="E21" i="40"/>
  <c r="D21" i="40"/>
  <c r="F21" i="40" s="1"/>
  <c r="T20" i="40"/>
  <c r="W20" i="40" s="1"/>
  <c r="M20" i="40"/>
  <c r="P20" i="40" s="1"/>
  <c r="K20" i="40"/>
  <c r="E20" i="40"/>
  <c r="D20" i="40"/>
  <c r="F20" i="40" s="1"/>
  <c r="T19" i="40"/>
  <c r="W19" i="40" s="1"/>
  <c r="M19" i="40"/>
  <c r="P19" i="40" s="1"/>
  <c r="K19" i="40"/>
  <c r="E19" i="40"/>
  <c r="D19" i="40"/>
  <c r="F19" i="40" s="1"/>
  <c r="T18" i="40"/>
  <c r="W18" i="40" s="1"/>
  <c r="P18" i="40"/>
  <c r="E18" i="40"/>
  <c r="D18" i="40"/>
  <c r="F18" i="40" s="1"/>
  <c r="T17" i="40"/>
  <c r="W17" i="40" s="1"/>
  <c r="M17" i="40"/>
  <c r="P17" i="40" s="1"/>
  <c r="K17" i="40"/>
  <c r="E17" i="40"/>
  <c r="D17" i="40"/>
  <c r="F17" i="40" s="1"/>
  <c r="T16" i="40"/>
  <c r="W16" i="40" s="1"/>
  <c r="M16" i="40"/>
  <c r="P16" i="40" s="1"/>
  <c r="K16" i="40"/>
  <c r="E16" i="40"/>
  <c r="D16" i="40"/>
  <c r="F16" i="40" s="1"/>
  <c r="T15" i="40"/>
  <c r="W15" i="40" s="1"/>
  <c r="M15" i="40"/>
  <c r="P15" i="40" s="1"/>
  <c r="K15" i="40"/>
  <c r="E15" i="40"/>
  <c r="D15" i="40"/>
  <c r="F15" i="40" s="1"/>
  <c r="T14" i="40"/>
  <c r="W14" i="40" s="1"/>
  <c r="M14" i="40"/>
  <c r="P14" i="40" s="1"/>
  <c r="K14" i="40"/>
  <c r="E14" i="40"/>
  <c r="D14" i="40"/>
  <c r="F14" i="40" s="1"/>
  <c r="T13" i="40"/>
  <c r="W13" i="40" s="1"/>
  <c r="M13" i="40"/>
  <c r="P13" i="40" s="1"/>
  <c r="K13" i="40"/>
  <c r="E13" i="40"/>
  <c r="D13" i="40"/>
  <c r="F13" i="40" s="1"/>
  <c r="T12" i="40"/>
  <c r="W12" i="40" s="1"/>
  <c r="M12" i="40"/>
  <c r="P12" i="40" s="1"/>
  <c r="K12" i="40"/>
  <c r="E12" i="40"/>
  <c r="D12" i="40"/>
  <c r="F12" i="40" s="1"/>
  <c r="T11" i="40"/>
  <c r="W11" i="40" s="1"/>
  <c r="M11" i="40"/>
  <c r="P11" i="40" s="1"/>
  <c r="K11" i="40"/>
  <c r="E11" i="40"/>
  <c r="D11" i="40"/>
  <c r="F11" i="40" s="1"/>
  <c r="W10" i="40"/>
  <c r="P10" i="40"/>
  <c r="T9" i="40"/>
  <c r="W9" i="40" s="1"/>
  <c r="M9" i="40"/>
  <c r="P9" i="40" s="1"/>
  <c r="K9" i="40"/>
  <c r="E9" i="40"/>
  <c r="D9" i="40"/>
  <c r="F9" i="40" s="1"/>
  <c r="T8" i="40"/>
  <c r="W8" i="40" s="1"/>
  <c r="M8" i="40"/>
  <c r="P8" i="40" s="1"/>
  <c r="K8" i="40"/>
  <c r="E8" i="40"/>
  <c r="D8" i="40"/>
  <c r="F8" i="40" s="1"/>
  <c r="T7" i="40"/>
  <c r="W7" i="40" s="1"/>
  <c r="M7" i="40"/>
  <c r="P7" i="40" s="1"/>
  <c r="K7" i="40"/>
  <c r="E7" i="40"/>
  <c r="D7" i="40"/>
  <c r="F7" i="40" s="1"/>
  <c r="P23" i="40" l="1"/>
  <c r="F23" i="40"/>
  <c r="T23" i="39"/>
  <c r="W23" i="39" s="1"/>
  <c r="M23" i="39"/>
  <c r="P23" i="39" s="1"/>
  <c r="K23" i="39"/>
  <c r="E23" i="39"/>
  <c r="C23" i="39"/>
  <c r="D23" i="39" s="1"/>
  <c r="F23" i="39" s="1"/>
  <c r="T22" i="39"/>
  <c r="W22" i="39" s="1"/>
  <c r="P22" i="39"/>
  <c r="K22" i="39"/>
  <c r="E22" i="39"/>
  <c r="D22" i="39"/>
  <c r="F22" i="39" s="1"/>
  <c r="T21" i="39"/>
  <c r="W21" i="39" s="1"/>
  <c r="M21" i="39"/>
  <c r="P21" i="39" s="1"/>
  <c r="K21" i="39"/>
  <c r="E21" i="39"/>
  <c r="D21" i="39"/>
  <c r="F21" i="39" s="1"/>
  <c r="T20" i="39"/>
  <c r="W20" i="39" s="1"/>
  <c r="M20" i="39"/>
  <c r="P20" i="39" s="1"/>
  <c r="K20" i="39"/>
  <c r="E20" i="39"/>
  <c r="D20" i="39"/>
  <c r="F20" i="39" s="1"/>
  <c r="T19" i="39"/>
  <c r="W19" i="39" s="1"/>
  <c r="M19" i="39"/>
  <c r="P19" i="39" s="1"/>
  <c r="K19" i="39"/>
  <c r="E19" i="39"/>
  <c r="D19" i="39"/>
  <c r="F19" i="39" s="1"/>
  <c r="T18" i="39"/>
  <c r="W18" i="39" s="1"/>
  <c r="M18" i="39"/>
  <c r="P18" i="39" s="1"/>
  <c r="K18" i="39"/>
  <c r="E18" i="39"/>
  <c r="D18" i="39"/>
  <c r="F18" i="39" s="1"/>
  <c r="T17" i="39"/>
  <c r="W17" i="39" s="1"/>
  <c r="M17" i="39"/>
  <c r="P17" i="39" s="1"/>
  <c r="K17" i="39"/>
  <c r="E17" i="39"/>
  <c r="D17" i="39"/>
  <c r="F17" i="39" s="1"/>
  <c r="T16" i="39"/>
  <c r="W16" i="39" s="1"/>
  <c r="M16" i="39"/>
  <c r="P16" i="39" s="1"/>
  <c r="K16" i="39"/>
  <c r="E16" i="39"/>
  <c r="D16" i="39"/>
  <c r="F16" i="39" s="1"/>
  <c r="T15" i="39"/>
  <c r="W15" i="39" s="1"/>
  <c r="M15" i="39"/>
  <c r="P15" i="39" s="1"/>
  <c r="K15" i="39"/>
  <c r="E15" i="39"/>
  <c r="D15" i="39"/>
  <c r="F15" i="39" s="1"/>
  <c r="T14" i="39"/>
  <c r="W14" i="39" s="1"/>
  <c r="M14" i="39"/>
  <c r="P14" i="39" s="1"/>
  <c r="K14" i="39"/>
  <c r="E14" i="39"/>
  <c r="D14" i="39"/>
  <c r="F14" i="39" s="1"/>
  <c r="T13" i="39"/>
  <c r="W13" i="39" s="1"/>
  <c r="M13" i="39"/>
  <c r="P13" i="39" s="1"/>
  <c r="K13" i="39"/>
  <c r="E13" i="39"/>
  <c r="D13" i="39"/>
  <c r="F13" i="39" s="1"/>
  <c r="T12" i="39"/>
  <c r="W12" i="39" s="1"/>
  <c r="M12" i="39"/>
  <c r="P12" i="39" s="1"/>
  <c r="K12" i="39"/>
  <c r="E12" i="39"/>
  <c r="D12" i="39"/>
  <c r="F12" i="39" s="1"/>
  <c r="T11" i="39"/>
  <c r="W11" i="39" s="1"/>
  <c r="M11" i="39"/>
  <c r="P11" i="39" s="1"/>
  <c r="K11" i="39"/>
  <c r="E11" i="39"/>
  <c r="D11" i="39"/>
  <c r="F11" i="39" s="1"/>
  <c r="W10" i="39"/>
  <c r="P10" i="39"/>
  <c r="T9" i="39"/>
  <c r="W9" i="39" s="1"/>
  <c r="M9" i="39"/>
  <c r="P9" i="39" s="1"/>
  <c r="K9" i="39"/>
  <c r="E9" i="39"/>
  <c r="D9" i="39"/>
  <c r="F9" i="39" s="1"/>
  <c r="T8" i="39"/>
  <c r="W8" i="39" s="1"/>
  <c r="M8" i="39"/>
  <c r="P8" i="39" s="1"/>
  <c r="K8" i="39"/>
  <c r="E8" i="39"/>
  <c r="D8" i="39"/>
  <c r="F8" i="39" s="1"/>
  <c r="T7" i="39"/>
  <c r="W7" i="39" s="1"/>
  <c r="M7" i="39"/>
  <c r="P7" i="39" s="1"/>
  <c r="K7" i="39"/>
  <c r="E7" i="39"/>
  <c r="D7" i="39"/>
  <c r="F7" i="39" s="1"/>
  <c r="W23" i="63" l="1"/>
  <c r="P23" i="63"/>
  <c r="W22" i="63"/>
  <c r="P22" i="63"/>
  <c r="W21" i="63"/>
  <c r="P21" i="63"/>
  <c r="W20" i="63"/>
  <c r="P20" i="63"/>
  <c r="W19" i="63"/>
  <c r="P19" i="63"/>
  <c r="W18" i="63"/>
  <c r="P18" i="63"/>
  <c r="W17" i="63"/>
  <c r="P17" i="63"/>
  <c r="W16" i="63"/>
  <c r="P16" i="63"/>
  <c r="W15" i="63"/>
  <c r="P15" i="63"/>
  <c r="W14" i="63"/>
  <c r="P14" i="63"/>
  <c r="W13" i="63"/>
  <c r="P13" i="63"/>
  <c r="W12" i="63"/>
  <c r="P12" i="63"/>
  <c r="W11" i="63"/>
  <c r="P11" i="63"/>
  <c r="W10" i="63"/>
  <c r="P10" i="63"/>
  <c r="T9" i="63"/>
  <c r="W9" i="63" s="1"/>
  <c r="M9" i="63"/>
  <c r="P9" i="63" s="1"/>
  <c r="K9" i="63"/>
  <c r="E9" i="63"/>
  <c r="D9" i="63"/>
  <c r="F9" i="63" s="1"/>
  <c r="T8" i="63"/>
  <c r="W8" i="63" s="1"/>
  <c r="M8" i="63"/>
  <c r="P8" i="63" s="1"/>
  <c r="K8" i="63"/>
  <c r="E8" i="63"/>
  <c r="D8" i="63"/>
  <c r="F8" i="63" s="1"/>
  <c r="T7" i="63"/>
  <c r="W7" i="63" s="1"/>
  <c r="M7" i="63"/>
  <c r="P7" i="63" s="1"/>
  <c r="K7" i="63"/>
  <c r="E7" i="63"/>
  <c r="D7" i="63"/>
  <c r="F7" i="63" s="1"/>
  <c r="T23" i="62" l="1"/>
  <c r="W23" i="62" s="1"/>
  <c r="O23" i="62"/>
  <c r="E23" i="62" s="1"/>
  <c r="L23" i="62"/>
  <c r="M23" i="62" s="1"/>
  <c r="K23" i="62"/>
  <c r="D23" i="62"/>
  <c r="T22" i="62"/>
  <c r="W22" i="62" s="1"/>
  <c r="M22" i="62"/>
  <c r="P22" i="62" s="1"/>
  <c r="K22" i="62"/>
  <c r="E22" i="62"/>
  <c r="D22" i="62"/>
  <c r="F22" i="62" s="1"/>
  <c r="T21" i="62"/>
  <c r="W21" i="62" s="1"/>
  <c r="M21" i="62"/>
  <c r="P21" i="62" s="1"/>
  <c r="K21" i="62"/>
  <c r="E21" i="62"/>
  <c r="D21" i="62"/>
  <c r="F21" i="62" s="1"/>
  <c r="T20" i="62"/>
  <c r="W20" i="62" s="1"/>
  <c r="M20" i="62"/>
  <c r="P20" i="62" s="1"/>
  <c r="K20" i="62"/>
  <c r="E20" i="62"/>
  <c r="D20" i="62"/>
  <c r="F20" i="62" s="1"/>
  <c r="T19" i="62"/>
  <c r="W19" i="62" s="1"/>
  <c r="M19" i="62"/>
  <c r="P19" i="62" s="1"/>
  <c r="K19" i="62"/>
  <c r="E19" i="62"/>
  <c r="D19" i="62"/>
  <c r="F19" i="62" s="1"/>
  <c r="T18" i="62"/>
  <c r="W18" i="62" s="1"/>
  <c r="M18" i="62"/>
  <c r="P18" i="62" s="1"/>
  <c r="K18" i="62"/>
  <c r="E18" i="62"/>
  <c r="D18" i="62"/>
  <c r="F18" i="62" s="1"/>
  <c r="T17" i="62"/>
  <c r="W17" i="62" s="1"/>
  <c r="M17" i="62"/>
  <c r="P17" i="62" s="1"/>
  <c r="K17" i="62"/>
  <c r="E17" i="62"/>
  <c r="D17" i="62"/>
  <c r="F17" i="62" s="1"/>
  <c r="T16" i="62"/>
  <c r="W16" i="62" s="1"/>
  <c r="M16" i="62"/>
  <c r="P16" i="62" s="1"/>
  <c r="K16" i="62"/>
  <c r="E16" i="62"/>
  <c r="D16" i="62"/>
  <c r="F16" i="62" s="1"/>
  <c r="T15" i="62"/>
  <c r="W15" i="62" s="1"/>
  <c r="M15" i="62"/>
  <c r="P15" i="62" s="1"/>
  <c r="K15" i="62"/>
  <c r="E15" i="62"/>
  <c r="D15" i="62"/>
  <c r="F15" i="62" s="1"/>
  <c r="T14" i="62"/>
  <c r="W14" i="62" s="1"/>
  <c r="M14" i="62"/>
  <c r="P14" i="62" s="1"/>
  <c r="K14" i="62"/>
  <c r="E14" i="62"/>
  <c r="D14" i="62"/>
  <c r="F14" i="62" s="1"/>
  <c r="T13" i="62"/>
  <c r="W13" i="62" s="1"/>
  <c r="M13" i="62"/>
  <c r="P13" i="62" s="1"/>
  <c r="K13" i="62"/>
  <c r="E13" i="62"/>
  <c r="D13" i="62"/>
  <c r="F13" i="62" s="1"/>
  <c r="T12" i="62"/>
  <c r="W12" i="62" s="1"/>
  <c r="M12" i="62"/>
  <c r="P12" i="62" s="1"/>
  <c r="K12" i="62"/>
  <c r="E12" i="62"/>
  <c r="D12" i="62"/>
  <c r="F12" i="62" s="1"/>
  <c r="T11" i="62"/>
  <c r="W11" i="62" s="1"/>
  <c r="M11" i="62"/>
  <c r="P11" i="62" s="1"/>
  <c r="K11" i="62"/>
  <c r="E11" i="62"/>
  <c r="D11" i="62"/>
  <c r="F11" i="62" s="1"/>
  <c r="W10" i="62"/>
  <c r="P10" i="62"/>
  <c r="T9" i="62"/>
  <c r="W9" i="62" s="1"/>
  <c r="M9" i="62"/>
  <c r="P9" i="62" s="1"/>
  <c r="K9" i="62"/>
  <c r="D9" i="62"/>
  <c r="T8" i="62"/>
  <c r="W8" i="62" s="1"/>
  <c r="M8" i="62"/>
  <c r="P8" i="62" s="1"/>
  <c r="K8" i="62"/>
  <c r="E8" i="62"/>
  <c r="D8" i="62"/>
  <c r="F8" i="62" s="1"/>
  <c r="T7" i="62"/>
  <c r="M7" i="62"/>
  <c r="P7" i="62" s="1"/>
  <c r="K7" i="62"/>
  <c r="E7" i="62"/>
  <c r="D7" i="62"/>
  <c r="F7" i="62" s="1"/>
  <c r="P23" i="62" l="1"/>
  <c r="W7" i="62"/>
  <c r="W6" i="62"/>
  <c r="F23" i="62"/>
  <c r="T23" i="31"/>
  <c r="W23" i="31" s="1"/>
  <c r="O23" i="31"/>
  <c r="E23" i="31" s="1"/>
  <c r="L23" i="31"/>
  <c r="M23" i="31" s="1"/>
  <c r="P23" i="31" s="1"/>
  <c r="K23" i="31"/>
  <c r="D23" i="31"/>
  <c r="T22" i="31"/>
  <c r="W22" i="31" s="1"/>
  <c r="P22" i="31"/>
  <c r="K22" i="31"/>
  <c r="E22" i="31"/>
  <c r="D22" i="31"/>
  <c r="F22" i="31" s="1"/>
  <c r="T21" i="31"/>
  <c r="W21" i="31" s="1"/>
  <c r="M21" i="31"/>
  <c r="P21" i="31" s="1"/>
  <c r="K21" i="31"/>
  <c r="E21" i="31"/>
  <c r="D21" i="31"/>
  <c r="F21" i="31" s="1"/>
  <c r="T20" i="31"/>
  <c r="W20" i="31" s="1"/>
  <c r="M20" i="31"/>
  <c r="P20" i="31" s="1"/>
  <c r="K20" i="31"/>
  <c r="E20" i="31"/>
  <c r="D20" i="31"/>
  <c r="F20" i="31" s="1"/>
  <c r="T19" i="31"/>
  <c r="W19" i="31" s="1"/>
  <c r="M19" i="31"/>
  <c r="P19" i="31" s="1"/>
  <c r="K19" i="31"/>
  <c r="E19" i="31"/>
  <c r="D19" i="31"/>
  <c r="F19" i="31" s="1"/>
  <c r="T18" i="31"/>
  <c r="W18" i="31" s="1"/>
  <c r="M18" i="31"/>
  <c r="P18" i="31" s="1"/>
  <c r="K18" i="31"/>
  <c r="E18" i="31"/>
  <c r="D18" i="31"/>
  <c r="F18" i="31" s="1"/>
  <c r="T17" i="31"/>
  <c r="W17" i="31" s="1"/>
  <c r="M17" i="31"/>
  <c r="P17" i="31" s="1"/>
  <c r="K17" i="31"/>
  <c r="E17" i="31"/>
  <c r="D17" i="31"/>
  <c r="F17" i="31" s="1"/>
  <c r="T16" i="31"/>
  <c r="W16" i="31" s="1"/>
  <c r="M16" i="31"/>
  <c r="P16" i="31" s="1"/>
  <c r="K16" i="31"/>
  <c r="E16" i="31"/>
  <c r="D16" i="31"/>
  <c r="F16" i="31" s="1"/>
  <c r="T15" i="31"/>
  <c r="W15" i="31" s="1"/>
  <c r="M15" i="31"/>
  <c r="P15" i="31" s="1"/>
  <c r="K15" i="31"/>
  <c r="E15" i="31"/>
  <c r="D15" i="31"/>
  <c r="F15" i="31" s="1"/>
  <c r="T14" i="31"/>
  <c r="W14" i="31" s="1"/>
  <c r="M14" i="31"/>
  <c r="P14" i="31" s="1"/>
  <c r="K14" i="31"/>
  <c r="E14" i="31"/>
  <c r="D14" i="31"/>
  <c r="F14" i="31" s="1"/>
  <c r="T13" i="31"/>
  <c r="W13" i="31" s="1"/>
  <c r="M13" i="31"/>
  <c r="P13" i="31" s="1"/>
  <c r="K13" i="31"/>
  <c r="E13" i="31"/>
  <c r="D13" i="31"/>
  <c r="F13" i="31" s="1"/>
  <c r="T12" i="31"/>
  <c r="W12" i="31" s="1"/>
  <c r="M12" i="31"/>
  <c r="P12" i="31" s="1"/>
  <c r="K12" i="31"/>
  <c r="E12" i="31"/>
  <c r="D12" i="31"/>
  <c r="F12" i="31" s="1"/>
  <c r="T11" i="31"/>
  <c r="W11" i="31" s="1"/>
  <c r="M11" i="31"/>
  <c r="P11" i="31" s="1"/>
  <c r="K11" i="31"/>
  <c r="E11" i="31"/>
  <c r="D11" i="31"/>
  <c r="F11" i="31" s="1"/>
  <c r="W10" i="31"/>
  <c r="P10" i="31"/>
  <c r="T9" i="31"/>
  <c r="W9" i="31" s="1"/>
  <c r="M9" i="31"/>
  <c r="P9" i="31" s="1"/>
  <c r="K9" i="31"/>
  <c r="E9" i="31"/>
  <c r="D9" i="31"/>
  <c r="F9" i="31" s="1"/>
  <c r="T8" i="31"/>
  <c r="W8" i="31" s="1"/>
  <c r="M8" i="31"/>
  <c r="P8" i="31" s="1"/>
  <c r="K8" i="31"/>
  <c r="E8" i="31"/>
  <c r="D8" i="31"/>
  <c r="F8" i="31" s="1"/>
  <c r="T7" i="31"/>
  <c r="W7" i="31" s="1"/>
  <c r="M7" i="31"/>
  <c r="P7" i="31" s="1"/>
  <c r="K7" i="31"/>
  <c r="E7" i="31"/>
  <c r="D7" i="31"/>
  <c r="F7" i="31" s="1"/>
  <c r="F23" i="31" l="1"/>
  <c r="T23" i="28" l="1"/>
  <c r="W23" i="28" s="1"/>
  <c r="M23" i="28"/>
  <c r="P23" i="28" s="1"/>
  <c r="K23" i="28"/>
  <c r="E23" i="28"/>
  <c r="C23" i="28"/>
  <c r="D23" i="28" s="1"/>
  <c r="F23" i="28" s="1"/>
  <c r="T22" i="28"/>
  <c r="W22" i="28" s="1"/>
  <c r="M22" i="28"/>
  <c r="P22" i="28" s="1"/>
  <c r="K22" i="28"/>
  <c r="E22" i="28"/>
  <c r="D22" i="28"/>
  <c r="F22" i="28" s="1"/>
  <c r="T21" i="28"/>
  <c r="W21" i="28" s="1"/>
  <c r="M21" i="28"/>
  <c r="P21" i="28" s="1"/>
  <c r="K21" i="28"/>
  <c r="E21" i="28"/>
  <c r="D21" i="28"/>
  <c r="F21" i="28" s="1"/>
  <c r="T20" i="28"/>
  <c r="W20" i="28" s="1"/>
  <c r="M20" i="28"/>
  <c r="P20" i="28" s="1"/>
  <c r="K20" i="28"/>
  <c r="E20" i="28"/>
  <c r="D20" i="28"/>
  <c r="F20" i="28" s="1"/>
  <c r="T19" i="28"/>
  <c r="W19" i="28" s="1"/>
  <c r="M19" i="28"/>
  <c r="P19" i="28" s="1"/>
  <c r="K19" i="28"/>
  <c r="E19" i="28"/>
  <c r="D19" i="28"/>
  <c r="F19" i="28" s="1"/>
  <c r="T18" i="28"/>
  <c r="W18" i="28" s="1"/>
  <c r="M18" i="28"/>
  <c r="P18" i="28" s="1"/>
  <c r="K18" i="28"/>
  <c r="E18" i="28"/>
  <c r="D18" i="28"/>
  <c r="F18" i="28" s="1"/>
  <c r="T17" i="28"/>
  <c r="W17" i="28" s="1"/>
  <c r="M17" i="28"/>
  <c r="P17" i="28" s="1"/>
  <c r="K17" i="28"/>
  <c r="E17" i="28"/>
  <c r="D17" i="28"/>
  <c r="F17" i="28" s="1"/>
  <c r="T16" i="28"/>
  <c r="W16" i="28" s="1"/>
  <c r="M16" i="28"/>
  <c r="P16" i="28" s="1"/>
  <c r="K16" i="28"/>
  <c r="E16" i="28"/>
  <c r="D16" i="28"/>
  <c r="F16" i="28" s="1"/>
  <c r="T15" i="28"/>
  <c r="W15" i="28" s="1"/>
  <c r="M15" i="28"/>
  <c r="P15" i="28" s="1"/>
  <c r="K15" i="28"/>
  <c r="E15" i="28"/>
  <c r="D15" i="28"/>
  <c r="F15" i="28" s="1"/>
  <c r="T14" i="28"/>
  <c r="W14" i="28" s="1"/>
  <c r="M14" i="28"/>
  <c r="P14" i="28" s="1"/>
  <c r="K14" i="28"/>
  <c r="E14" i="28"/>
  <c r="D14" i="28"/>
  <c r="F14" i="28" s="1"/>
  <c r="T13" i="28"/>
  <c r="W13" i="28" s="1"/>
  <c r="M13" i="28"/>
  <c r="P13" i="28" s="1"/>
  <c r="K13" i="28"/>
  <c r="E13" i="28"/>
  <c r="D13" i="28"/>
  <c r="F13" i="28" s="1"/>
  <c r="T12" i="28"/>
  <c r="W12" i="28" s="1"/>
  <c r="M12" i="28"/>
  <c r="P12" i="28" s="1"/>
  <c r="K12" i="28"/>
  <c r="E12" i="28"/>
  <c r="D12" i="28"/>
  <c r="F12" i="28" s="1"/>
  <c r="T11" i="28"/>
  <c r="W11" i="28" s="1"/>
  <c r="M11" i="28"/>
  <c r="P11" i="28" s="1"/>
  <c r="K11" i="28"/>
  <c r="E11" i="28"/>
  <c r="D11" i="28"/>
  <c r="F11" i="28" s="1"/>
  <c r="W10" i="28"/>
  <c r="P10" i="28"/>
  <c r="T9" i="28"/>
  <c r="W9" i="28" s="1"/>
  <c r="M9" i="28"/>
  <c r="P9" i="28" s="1"/>
  <c r="K9" i="28"/>
  <c r="E9" i="28"/>
  <c r="D9" i="28"/>
  <c r="F9" i="28" s="1"/>
  <c r="T8" i="28"/>
  <c r="W8" i="28" s="1"/>
  <c r="M8" i="28"/>
  <c r="P8" i="28" s="1"/>
  <c r="K8" i="28"/>
  <c r="E8" i="28"/>
  <c r="C8" i="28"/>
  <c r="D8" i="28" s="1"/>
  <c r="F8" i="28" s="1"/>
  <c r="T7" i="28"/>
  <c r="W7" i="28" s="1"/>
  <c r="M7" i="28"/>
  <c r="P7" i="28" s="1"/>
  <c r="K7" i="28"/>
  <c r="E7" i="28"/>
  <c r="D7" i="28"/>
  <c r="F7" i="28" s="1"/>
  <c r="T23" i="25" l="1"/>
  <c r="W23" i="25" s="1"/>
  <c r="O23" i="25"/>
  <c r="E23" i="25" s="1"/>
  <c r="L23" i="25"/>
  <c r="M23" i="25" s="1"/>
  <c r="P23" i="25" s="1"/>
  <c r="K23" i="25"/>
  <c r="D23" i="25"/>
  <c r="T22" i="25"/>
  <c r="W22" i="25" s="1"/>
  <c r="M22" i="25"/>
  <c r="P22" i="25" s="1"/>
  <c r="K22" i="25"/>
  <c r="E22" i="25"/>
  <c r="D22" i="25"/>
  <c r="F22" i="25" s="1"/>
  <c r="T21" i="25"/>
  <c r="W21" i="25" s="1"/>
  <c r="M21" i="25"/>
  <c r="P21" i="25" s="1"/>
  <c r="K21" i="25"/>
  <c r="E21" i="25"/>
  <c r="D21" i="25"/>
  <c r="F21" i="25" s="1"/>
  <c r="T20" i="25"/>
  <c r="W20" i="25" s="1"/>
  <c r="M20" i="25"/>
  <c r="P20" i="25" s="1"/>
  <c r="K20" i="25"/>
  <c r="E20" i="25"/>
  <c r="D20" i="25"/>
  <c r="F20" i="25" s="1"/>
  <c r="T19" i="25"/>
  <c r="W19" i="25" s="1"/>
  <c r="M19" i="25"/>
  <c r="P19" i="25" s="1"/>
  <c r="K19" i="25"/>
  <c r="E19" i="25"/>
  <c r="D19" i="25"/>
  <c r="F19" i="25" s="1"/>
  <c r="T18" i="25"/>
  <c r="W18" i="25" s="1"/>
  <c r="M18" i="25"/>
  <c r="P18" i="25" s="1"/>
  <c r="K18" i="25"/>
  <c r="E18" i="25"/>
  <c r="D18" i="25"/>
  <c r="F18" i="25" s="1"/>
  <c r="T17" i="25"/>
  <c r="W17" i="25" s="1"/>
  <c r="M17" i="25"/>
  <c r="P17" i="25" s="1"/>
  <c r="K17" i="25"/>
  <c r="E17" i="25"/>
  <c r="D17" i="25"/>
  <c r="F17" i="25" s="1"/>
  <c r="T16" i="25"/>
  <c r="W16" i="25" s="1"/>
  <c r="M16" i="25"/>
  <c r="P16" i="25" s="1"/>
  <c r="K16" i="25"/>
  <c r="E16" i="25"/>
  <c r="D16" i="25"/>
  <c r="F16" i="25" s="1"/>
  <c r="T15" i="25"/>
  <c r="W15" i="25" s="1"/>
  <c r="M15" i="25"/>
  <c r="P15" i="25" s="1"/>
  <c r="K15" i="25"/>
  <c r="E15" i="25"/>
  <c r="D15" i="25"/>
  <c r="F15" i="25" s="1"/>
  <c r="T14" i="25"/>
  <c r="W14" i="25" s="1"/>
  <c r="M14" i="25"/>
  <c r="P14" i="25" s="1"/>
  <c r="K14" i="25"/>
  <c r="E14" i="25"/>
  <c r="D14" i="25"/>
  <c r="F14" i="25" s="1"/>
  <c r="T13" i="25"/>
  <c r="W13" i="25" s="1"/>
  <c r="M13" i="25"/>
  <c r="P13" i="25" s="1"/>
  <c r="K13" i="25"/>
  <c r="E13" i="25"/>
  <c r="D13" i="25"/>
  <c r="F13" i="25" s="1"/>
  <c r="T12" i="25"/>
  <c r="W12" i="25" s="1"/>
  <c r="M12" i="25"/>
  <c r="P12" i="25" s="1"/>
  <c r="K12" i="25"/>
  <c r="E12" i="25"/>
  <c r="D12" i="25"/>
  <c r="F12" i="25" s="1"/>
  <c r="T11" i="25"/>
  <c r="W11" i="25" s="1"/>
  <c r="M11" i="25"/>
  <c r="P11" i="25" s="1"/>
  <c r="K11" i="25"/>
  <c r="E11" i="25"/>
  <c r="D11" i="25"/>
  <c r="F11" i="25" s="1"/>
  <c r="W10" i="25"/>
  <c r="P10" i="25"/>
  <c r="T9" i="25"/>
  <c r="W9" i="25" s="1"/>
  <c r="M9" i="25"/>
  <c r="P9" i="25" s="1"/>
  <c r="K9" i="25"/>
  <c r="E9" i="25"/>
  <c r="D9" i="25"/>
  <c r="F9" i="25" s="1"/>
  <c r="T8" i="25"/>
  <c r="W8" i="25" s="1"/>
  <c r="M8" i="25"/>
  <c r="P8" i="25" s="1"/>
  <c r="K8" i="25"/>
  <c r="E8" i="25"/>
  <c r="D8" i="25"/>
  <c r="F8" i="25" s="1"/>
  <c r="T7" i="25"/>
  <c r="W7" i="25" s="1"/>
  <c r="M7" i="25"/>
  <c r="P7" i="25" s="1"/>
  <c r="K7" i="25"/>
  <c r="E7" i="25"/>
  <c r="D7" i="25"/>
  <c r="F7" i="25" s="1"/>
  <c r="F23" i="25" l="1"/>
  <c r="T8" i="66" l="1"/>
  <c r="W8" i="66" s="1"/>
  <c r="M8" i="66"/>
  <c r="P8" i="66" s="1"/>
  <c r="K8" i="66"/>
  <c r="E8" i="66"/>
  <c r="D8" i="66"/>
  <c r="F8" i="66" s="1"/>
  <c r="T7" i="66"/>
  <c r="W7" i="66" s="1"/>
  <c r="M7" i="66"/>
  <c r="P7" i="66" s="1"/>
  <c r="K7" i="66"/>
  <c r="E7" i="66"/>
  <c r="D7" i="66"/>
  <c r="F7" i="66" s="1"/>
  <c r="T23" i="19" l="1"/>
  <c r="W23" i="19" s="1"/>
  <c r="L23" i="19"/>
  <c r="M23" i="19" s="1"/>
  <c r="P23" i="19" s="1"/>
  <c r="K23" i="19"/>
  <c r="E23" i="19"/>
  <c r="D23" i="19"/>
  <c r="F23" i="19" s="1"/>
  <c r="T22" i="19"/>
  <c r="W22" i="19" s="1"/>
  <c r="M22" i="19"/>
  <c r="P22" i="19" s="1"/>
  <c r="E22" i="19"/>
  <c r="D22" i="19"/>
  <c r="F22" i="19" s="1"/>
  <c r="T21" i="19"/>
  <c r="W21" i="19" s="1"/>
  <c r="M21" i="19"/>
  <c r="P21" i="19" s="1"/>
  <c r="K21" i="19"/>
  <c r="E21" i="19"/>
  <c r="D21" i="19"/>
  <c r="F21" i="19" s="1"/>
  <c r="T20" i="19"/>
  <c r="W20" i="19" s="1"/>
  <c r="M20" i="19"/>
  <c r="P20" i="19" s="1"/>
  <c r="K20" i="19"/>
  <c r="E20" i="19"/>
  <c r="D20" i="19"/>
  <c r="F20" i="19" s="1"/>
  <c r="T19" i="19"/>
  <c r="W19" i="19" s="1"/>
  <c r="P19" i="19"/>
  <c r="F19" i="19"/>
  <c r="E19" i="19"/>
  <c r="T18" i="19"/>
  <c r="W18" i="19" s="1"/>
  <c r="M18" i="19"/>
  <c r="P18" i="19" s="1"/>
  <c r="K18" i="19"/>
  <c r="E18" i="19"/>
  <c r="D18" i="19"/>
  <c r="F18" i="19" s="1"/>
  <c r="T17" i="19"/>
  <c r="W17" i="19" s="1"/>
  <c r="M17" i="19"/>
  <c r="P17" i="19" s="1"/>
  <c r="K17" i="19"/>
  <c r="E17" i="19"/>
  <c r="D17" i="19"/>
  <c r="F17" i="19" s="1"/>
  <c r="T16" i="19"/>
  <c r="W16" i="19" s="1"/>
  <c r="M16" i="19"/>
  <c r="P16" i="19" s="1"/>
  <c r="K16" i="19"/>
  <c r="E16" i="19"/>
  <c r="D16" i="19"/>
  <c r="F16" i="19" s="1"/>
  <c r="T15" i="19"/>
  <c r="W15" i="19" s="1"/>
  <c r="M15" i="19"/>
  <c r="P15" i="19" s="1"/>
  <c r="K15" i="19"/>
  <c r="E15" i="19"/>
  <c r="D15" i="19"/>
  <c r="F15" i="19" s="1"/>
  <c r="T14" i="19"/>
  <c r="W14" i="19" s="1"/>
  <c r="M14" i="19"/>
  <c r="P14" i="19" s="1"/>
  <c r="K14" i="19"/>
  <c r="E14" i="19"/>
  <c r="D14" i="19"/>
  <c r="F14" i="19" s="1"/>
  <c r="T13" i="19"/>
  <c r="W13" i="19" s="1"/>
  <c r="M13" i="19"/>
  <c r="P13" i="19" s="1"/>
  <c r="K13" i="19"/>
  <c r="E13" i="19"/>
  <c r="D13" i="19"/>
  <c r="F13" i="19" s="1"/>
  <c r="T12" i="19"/>
  <c r="W12" i="19" s="1"/>
  <c r="M12" i="19"/>
  <c r="P12" i="19" s="1"/>
  <c r="K12" i="19"/>
  <c r="E12" i="19"/>
  <c r="D12" i="19"/>
  <c r="F12" i="19" s="1"/>
  <c r="T11" i="19"/>
  <c r="W11" i="19" s="1"/>
  <c r="P11" i="19"/>
  <c r="E11" i="19"/>
  <c r="C11" i="19"/>
  <c r="D11" i="19" s="1"/>
  <c r="F11" i="19" s="1"/>
  <c r="T10" i="19"/>
  <c r="W10" i="19" s="1"/>
  <c r="P10" i="19"/>
  <c r="E10" i="19"/>
  <c r="D10" i="19"/>
  <c r="F10" i="19" s="1"/>
  <c r="T9" i="19"/>
  <c r="W9" i="19" s="1"/>
  <c r="M9" i="19"/>
  <c r="P9" i="19" s="1"/>
  <c r="K9" i="19"/>
  <c r="E9" i="19"/>
  <c r="D9" i="19"/>
  <c r="F9" i="19" s="1"/>
  <c r="T8" i="19"/>
  <c r="W8" i="19" s="1"/>
  <c r="M8" i="19"/>
  <c r="P8" i="19" s="1"/>
  <c r="K8" i="19"/>
  <c r="E8" i="19"/>
  <c r="D8" i="19"/>
  <c r="F8" i="19" s="1"/>
  <c r="T7" i="19"/>
  <c r="W7" i="19" s="1"/>
  <c r="M7" i="19"/>
  <c r="P7" i="19" s="1"/>
  <c r="K7" i="19"/>
  <c r="E7" i="19"/>
  <c r="D7" i="19"/>
  <c r="F7" i="19" s="1"/>
  <c r="T23" i="18" l="1"/>
  <c r="W23" i="18" s="1"/>
  <c r="O23" i="18"/>
  <c r="E23" i="18" s="1"/>
  <c r="L23" i="18"/>
  <c r="M23" i="18" s="1"/>
  <c r="K23" i="18"/>
  <c r="D23" i="18"/>
  <c r="T22" i="18"/>
  <c r="W22" i="18" s="1"/>
  <c r="M22" i="18"/>
  <c r="P22" i="18" s="1"/>
  <c r="K22" i="18"/>
  <c r="E22" i="18"/>
  <c r="D22" i="18"/>
  <c r="F22" i="18" s="1"/>
  <c r="T21" i="18"/>
  <c r="W21" i="18" s="1"/>
  <c r="M21" i="18"/>
  <c r="P21" i="18" s="1"/>
  <c r="K21" i="18"/>
  <c r="E21" i="18"/>
  <c r="D21" i="18"/>
  <c r="F21" i="18" s="1"/>
  <c r="T20" i="18"/>
  <c r="W20" i="18" s="1"/>
  <c r="M20" i="18"/>
  <c r="P20" i="18" s="1"/>
  <c r="K20" i="18"/>
  <c r="E20" i="18"/>
  <c r="D20" i="18"/>
  <c r="F20" i="18" s="1"/>
  <c r="T19" i="18"/>
  <c r="W19" i="18" s="1"/>
  <c r="M19" i="18"/>
  <c r="P19" i="18" s="1"/>
  <c r="K19" i="18"/>
  <c r="E19" i="18"/>
  <c r="D19" i="18"/>
  <c r="F19" i="18" s="1"/>
  <c r="T18" i="18"/>
  <c r="W18" i="18" s="1"/>
  <c r="M18" i="18"/>
  <c r="P18" i="18" s="1"/>
  <c r="K18" i="18"/>
  <c r="E18" i="18"/>
  <c r="D18" i="18"/>
  <c r="F18" i="18" s="1"/>
  <c r="T17" i="18"/>
  <c r="W17" i="18" s="1"/>
  <c r="M17" i="18"/>
  <c r="P17" i="18" s="1"/>
  <c r="K17" i="18"/>
  <c r="E17" i="18"/>
  <c r="D17" i="18"/>
  <c r="F17" i="18" s="1"/>
  <c r="T16" i="18"/>
  <c r="W16" i="18" s="1"/>
  <c r="M16" i="18"/>
  <c r="P16" i="18" s="1"/>
  <c r="K16" i="18"/>
  <c r="E16" i="18"/>
  <c r="D16" i="18"/>
  <c r="F16" i="18" s="1"/>
  <c r="T15" i="18"/>
  <c r="W15" i="18" s="1"/>
  <c r="M15" i="18"/>
  <c r="P15" i="18" s="1"/>
  <c r="K15" i="18"/>
  <c r="E15" i="18"/>
  <c r="D15" i="18"/>
  <c r="F15" i="18" s="1"/>
  <c r="T14" i="18"/>
  <c r="W14" i="18" s="1"/>
  <c r="M14" i="18"/>
  <c r="P14" i="18" s="1"/>
  <c r="K14" i="18"/>
  <c r="E14" i="18"/>
  <c r="D14" i="18"/>
  <c r="F14" i="18" s="1"/>
  <c r="T13" i="18"/>
  <c r="W13" i="18" s="1"/>
  <c r="M13" i="18"/>
  <c r="P13" i="18" s="1"/>
  <c r="K13" i="18"/>
  <c r="E13" i="18"/>
  <c r="D13" i="18"/>
  <c r="F13" i="18" s="1"/>
  <c r="T12" i="18"/>
  <c r="W12" i="18" s="1"/>
  <c r="M12" i="18"/>
  <c r="P12" i="18" s="1"/>
  <c r="K12" i="18"/>
  <c r="E12" i="18"/>
  <c r="D12" i="18"/>
  <c r="F12" i="18" s="1"/>
  <c r="T11" i="18"/>
  <c r="W11" i="18" s="1"/>
  <c r="M11" i="18"/>
  <c r="P11" i="18" s="1"/>
  <c r="K11" i="18"/>
  <c r="E11" i="18"/>
  <c r="D11" i="18"/>
  <c r="F11" i="18" s="1"/>
  <c r="W10" i="18"/>
  <c r="P10" i="18"/>
  <c r="T9" i="18"/>
  <c r="W9" i="18" s="1"/>
  <c r="M9" i="18"/>
  <c r="P9" i="18" s="1"/>
  <c r="K9" i="18"/>
  <c r="E9" i="18"/>
  <c r="D9" i="18"/>
  <c r="F9" i="18" s="1"/>
  <c r="T8" i="18"/>
  <c r="W8" i="18" s="1"/>
  <c r="M8" i="18"/>
  <c r="P8" i="18" s="1"/>
  <c r="K8" i="18"/>
  <c r="E8" i="18"/>
  <c r="D8" i="18"/>
  <c r="F8" i="18" s="1"/>
  <c r="T7" i="18"/>
  <c r="W7" i="18" s="1"/>
  <c r="M7" i="18"/>
  <c r="P7" i="18" s="1"/>
  <c r="K7" i="18"/>
  <c r="E7" i="18"/>
  <c r="D7" i="18"/>
  <c r="F7" i="18" s="1"/>
  <c r="P23" i="18" l="1"/>
  <c r="F23" i="18"/>
  <c r="T23" i="16"/>
  <c r="W23" i="16" s="1"/>
  <c r="O23" i="16"/>
  <c r="E23" i="16" s="1"/>
  <c r="L23" i="16"/>
  <c r="M23" i="16" s="1"/>
  <c r="K23" i="16"/>
  <c r="C23" i="16"/>
  <c r="D23" i="16" s="1"/>
  <c r="T22" i="16"/>
  <c r="W22" i="16" s="1"/>
  <c r="L22" i="16"/>
  <c r="M22" i="16" s="1"/>
  <c r="P22" i="16" s="1"/>
  <c r="K22" i="16"/>
  <c r="E22" i="16"/>
  <c r="C22" i="16"/>
  <c r="D22" i="16" s="1"/>
  <c r="F22" i="16" s="1"/>
  <c r="T21" i="16"/>
  <c r="W21" i="16" s="1"/>
  <c r="M21" i="16"/>
  <c r="P21" i="16" s="1"/>
  <c r="K21" i="16"/>
  <c r="E21" i="16"/>
  <c r="D21" i="16"/>
  <c r="F21" i="16" s="1"/>
  <c r="T20" i="16"/>
  <c r="W20" i="16" s="1"/>
  <c r="M20" i="16"/>
  <c r="P20" i="16" s="1"/>
  <c r="K20" i="16"/>
  <c r="E20" i="16"/>
  <c r="D20" i="16"/>
  <c r="F20" i="16" s="1"/>
  <c r="T19" i="16"/>
  <c r="W19" i="16" s="1"/>
  <c r="P19" i="16"/>
  <c r="M19" i="16"/>
  <c r="K19" i="16"/>
  <c r="E19" i="16"/>
  <c r="D19" i="16"/>
  <c r="F19" i="16" s="1"/>
  <c r="T18" i="16"/>
  <c r="W18" i="16" s="1"/>
  <c r="M18" i="16"/>
  <c r="P18" i="16" s="1"/>
  <c r="K18" i="16"/>
  <c r="E18" i="16"/>
  <c r="D18" i="16"/>
  <c r="F18" i="16" s="1"/>
  <c r="T17" i="16"/>
  <c r="W17" i="16" s="1"/>
  <c r="M17" i="16"/>
  <c r="P17" i="16" s="1"/>
  <c r="K17" i="16"/>
  <c r="E17" i="16"/>
  <c r="D17" i="16"/>
  <c r="F17" i="16" s="1"/>
  <c r="T16" i="16"/>
  <c r="W16" i="16" s="1"/>
  <c r="M16" i="16"/>
  <c r="P16" i="16" s="1"/>
  <c r="K16" i="16"/>
  <c r="E16" i="16"/>
  <c r="D16" i="16"/>
  <c r="F16" i="16" s="1"/>
  <c r="T15" i="16"/>
  <c r="W15" i="16" s="1"/>
  <c r="M15" i="16"/>
  <c r="P15" i="16" s="1"/>
  <c r="K15" i="16"/>
  <c r="E15" i="16"/>
  <c r="D15" i="16"/>
  <c r="F15" i="16" s="1"/>
  <c r="T14" i="16"/>
  <c r="W14" i="16" s="1"/>
  <c r="M14" i="16"/>
  <c r="P14" i="16" s="1"/>
  <c r="E14" i="16"/>
  <c r="D14" i="16"/>
  <c r="F14" i="16" s="1"/>
  <c r="T13" i="16"/>
  <c r="W13" i="16" s="1"/>
  <c r="M13" i="16"/>
  <c r="P13" i="16" s="1"/>
  <c r="K13" i="16"/>
  <c r="E13" i="16"/>
  <c r="D13" i="16"/>
  <c r="F13" i="16" s="1"/>
  <c r="T12" i="16"/>
  <c r="W12" i="16" s="1"/>
  <c r="M12" i="16"/>
  <c r="P12" i="16" s="1"/>
  <c r="K12" i="16"/>
  <c r="E12" i="16"/>
  <c r="D12" i="16"/>
  <c r="F12" i="16" s="1"/>
  <c r="T11" i="16"/>
  <c r="W11" i="16" s="1"/>
  <c r="M11" i="16"/>
  <c r="P11" i="16" s="1"/>
  <c r="K11" i="16"/>
  <c r="E11" i="16"/>
  <c r="D11" i="16"/>
  <c r="F11" i="16" s="1"/>
  <c r="W10" i="16"/>
  <c r="T9" i="16"/>
  <c r="W9" i="16" s="1"/>
  <c r="M9" i="16"/>
  <c r="P9" i="16" s="1"/>
  <c r="K9" i="16"/>
  <c r="E9" i="16"/>
  <c r="D9" i="16"/>
  <c r="F9" i="16" s="1"/>
  <c r="T8" i="16"/>
  <c r="W8" i="16" s="1"/>
  <c r="M8" i="16"/>
  <c r="P8" i="16" s="1"/>
  <c r="K8" i="16"/>
  <c r="E8" i="16"/>
  <c r="D8" i="16"/>
  <c r="F8" i="16" s="1"/>
  <c r="T7" i="16"/>
  <c r="W7" i="16" s="1"/>
  <c r="M7" i="16"/>
  <c r="P7" i="16" s="1"/>
  <c r="K7" i="16"/>
  <c r="E7" i="16"/>
  <c r="D7" i="16"/>
  <c r="F7" i="16" s="1"/>
  <c r="P23" i="16" l="1"/>
  <c r="F23" i="16"/>
  <c r="T23" i="12"/>
  <c r="W23" i="12" s="1"/>
  <c r="O23" i="12"/>
  <c r="E23" i="12" s="1"/>
  <c r="L23" i="12"/>
  <c r="M23" i="12" s="1"/>
  <c r="P23" i="12" s="1"/>
  <c r="K23" i="12"/>
  <c r="D23" i="12"/>
  <c r="T22" i="12"/>
  <c r="W22" i="12" s="1"/>
  <c r="M22" i="12"/>
  <c r="P22" i="12" s="1"/>
  <c r="K22" i="12"/>
  <c r="E22" i="12"/>
  <c r="D22" i="12"/>
  <c r="F22" i="12" s="1"/>
  <c r="T21" i="12"/>
  <c r="W21" i="12" s="1"/>
  <c r="M21" i="12"/>
  <c r="P21" i="12" s="1"/>
  <c r="K21" i="12"/>
  <c r="E21" i="12"/>
  <c r="D21" i="12"/>
  <c r="F21" i="12" s="1"/>
  <c r="T20" i="12"/>
  <c r="W20" i="12" s="1"/>
  <c r="M20" i="12"/>
  <c r="P20" i="12" s="1"/>
  <c r="K20" i="12"/>
  <c r="E20" i="12"/>
  <c r="D20" i="12"/>
  <c r="F20" i="12" s="1"/>
  <c r="T19" i="12"/>
  <c r="W19" i="12" s="1"/>
  <c r="M19" i="12"/>
  <c r="P19" i="12" s="1"/>
  <c r="K19" i="12"/>
  <c r="E19" i="12"/>
  <c r="D19" i="12"/>
  <c r="F19" i="12" s="1"/>
  <c r="T18" i="12"/>
  <c r="W18" i="12" s="1"/>
  <c r="M18" i="12"/>
  <c r="P18" i="12" s="1"/>
  <c r="K18" i="12"/>
  <c r="E18" i="12"/>
  <c r="D18" i="12"/>
  <c r="F18" i="12" s="1"/>
  <c r="T17" i="12"/>
  <c r="W17" i="12" s="1"/>
  <c r="M17" i="12"/>
  <c r="P17" i="12" s="1"/>
  <c r="K17" i="12"/>
  <c r="E17" i="12"/>
  <c r="D17" i="12"/>
  <c r="F17" i="12" s="1"/>
  <c r="T16" i="12"/>
  <c r="W16" i="12" s="1"/>
  <c r="M16" i="12"/>
  <c r="P16" i="12" s="1"/>
  <c r="K16" i="12"/>
  <c r="E16" i="12"/>
  <c r="D16" i="12"/>
  <c r="F16" i="12" s="1"/>
  <c r="T15" i="12"/>
  <c r="W15" i="12" s="1"/>
  <c r="M15" i="12"/>
  <c r="P15" i="12" s="1"/>
  <c r="K15" i="12"/>
  <c r="E15" i="12"/>
  <c r="D15" i="12"/>
  <c r="F15" i="12" s="1"/>
  <c r="T14" i="12"/>
  <c r="W14" i="12" s="1"/>
  <c r="M14" i="12"/>
  <c r="P14" i="12" s="1"/>
  <c r="K14" i="12"/>
  <c r="E14" i="12"/>
  <c r="D14" i="12"/>
  <c r="F14" i="12" s="1"/>
  <c r="T13" i="12"/>
  <c r="W13" i="12" s="1"/>
  <c r="M13" i="12"/>
  <c r="P13" i="12" s="1"/>
  <c r="K13" i="12"/>
  <c r="E13" i="12"/>
  <c r="D13" i="12"/>
  <c r="F13" i="12" s="1"/>
  <c r="T12" i="12"/>
  <c r="W12" i="12" s="1"/>
  <c r="M12" i="12"/>
  <c r="P12" i="12" s="1"/>
  <c r="K12" i="12"/>
  <c r="E12" i="12"/>
  <c r="D12" i="12"/>
  <c r="F12" i="12" s="1"/>
  <c r="T11" i="12"/>
  <c r="W11" i="12" s="1"/>
  <c r="M11" i="12"/>
  <c r="P11" i="12" s="1"/>
  <c r="K11" i="12"/>
  <c r="E11" i="12"/>
  <c r="D11" i="12"/>
  <c r="F11" i="12" s="1"/>
  <c r="W10" i="12"/>
  <c r="M10" i="12"/>
  <c r="P10" i="12" s="1"/>
  <c r="K10" i="12"/>
  <c r="E10" i="12"/>
  <c r="D10" i="12"/>
  <c r="F10" i="12" s="1"/>
  <c r="U9" i="12"/>
  <c r="T9" i="12" s="1"/>
  <c r="W9" i="12" s="1"/>
  <c r="S9" i="12"/>
  <c r="M9" i="12"/>
  <c r="P9" i="12" s="1"/>
  <c r="J9" i="12"/>
  <c r="K9" i="12" s="1"/>
  <c r="E9" i="12"/>
  <c r="D9" i="12"/>
  <c r="F9" i="12" s="1"/>
  <c r="T8" i="12"/>
  <c r="W8" i="12" s="1"/>
  <c r="L8" i="12"/>
  <c r="M8" i="12" s="1"/>
  <c r="P8" i="12" s="1"/>
  <c r="K8" i="12"/>
  <c r="E8" i="12"/>
  <c r="D8" i="12"/>
  <c r="F8" i="12" s="1"/>
  <c r="T7" i="12"/>
  <c r="W7" i="12" s="1"/>
  <c r="L7" i="12"/>
  <c r="M7" i="12" s="1"/>
  <c r="P7" i="12" s="1"/>
  <c r="K7" i="12"/>
  <c r="B5" i="68" s="1"/>
  <c r="E7" i="12"/>
  <c r="D7" i="12"/>
  <c r="F7" i="12" s="1"/>
  <c r="F23" i="12" l="1"/>
  <c r="T23" i="60"/>
  <c r="W23" i="60" s="1"/>
  <c r="O23" i="60"/>
  <c r="E23" i="60" s="1"/>
  <c r="L23" i="60"/>
  <c r="M23" i="60" s="1"/>
  <c r="P23" i="60" s="1"/>
  <c r="K23" i="60"/>
  <c r="D23" i="60"/>
  <c r="T22" i="60"/>
  <c r="W22" i="60" s="1"/>
  <c r="M22" i="60"/>
  <c r="P22" i="60" s="1"/>
  <c r="K22" i="60"/>
  <c r="E22" i="60"/>
  <c r="D22" i="60"/>
  <c r="F22" i="60" s="1"/>
  <c r="T21" i="60"/>
  <c r="W21" i="60" s="1"/>
  <c r="M21" i="60"/>
  <c r="P21" i="60" s="1"/>
  <c r="K21" i="60"/>
  <c r="E21" i="60"/>
  <c r="D21" i="60"/>
  <c r="F21" i="60" s="1"/>
  <c r="T20" i="60"/>
  <c r="W20" i="60" s="1"/>
  <c r="M20" i="60"/>
  <c r="P20" i="60" s="1"/>
  <c r="K20" i="60"/>
  <c r="E20" i="60"/>
  <c r="D20" i="60"/>
  <c r="F20" i="60" s="1"/>
  <c r="T19" i="60"/>
  <c r="W19" i="60" s="1"/>
  <c r="M19" i="60"/>
  <c r="P19" i="60" s="1"/>
  <c r="K19" i="60"/>
  <c r="E19" i="60"/>
  <c r="D19" i="60"/>
  <c r="F19" i="60" s="1"/>
  <c r="T18" i="60"/>
  <c r="W18" i="60" s="1"/>
  <c r="M18" i="60"/>
  <c r="P18" i="60" s="1"/>
  <c r="K18" i="60"/>
  <c r="E18" i="60"/>
  <c r="D18" i="60"/>
  <c r="F18" i="60" s="1"/>
  <c r="T17" i="60"/>
  <c r="W17" i="60" s="1"/>
  <c r="M17" i="60"/>
  <c r="P17" i="60" s="1"/>
  <c r="K17" i="60"/>
  <c r="E17" i="60"/>
  <c r="D17" i="60"/>
  <c r="F17" i="60" s="1"/>
  <c r="T16" i="60"/>
  <c r="W16" i="60" s="1"/>
  <c r="M16" i="60"/>
  <c r="P16" i="60" s="1"/>
  <c r="K16" i="60"/>
  <c r="E16" i="60"/>
  <c r="D16" i="60"/>
  <c r="F16" i="60" s="1"/>
  <c r="T15" i="60"/>
  <c r="W15" i="60" s="1"/>
  <c r="M15" i="60"/>
  <c r="P15" i="60" s="1"/>
  <c r="K15" i="60"/>
  <c r="E15" i="60"/>
  <c r="D15" i="60"/>
  <c r="F15" i="60" s="1"/>
  <c r="T14" i="60"/>
  <c r="W14" i="60" s="1"/>
  <c r="M14" i="60"/>
  <c r="P14" i="60" s="1"/>
  <c r="K14" i="60"/>
  <c r="E14" i="60"/>
  <c r="D14" i="60"/>
  <c r="F14" i="60" s="1"/>
  <c r="T13" i="60"/>
  <c r="W13" i="60" s="1"/>
  <c r="M13" i="60"/>
  <c r="P13" i="60" s="1"/>
  <c r="K13" i="60"/>
  <c r="E13" i="60"/>
  <c r="D13" i="60"/>
  <c r="F13" i="60" s="1"/>
  <c r="T12" i="60"/>
  <c r="W12" i="60" s="1"/>
  <c r="M12" i="60"/>
  <c r="P12" i="60" s="1"/>
  <c r="K12" i="60"/>
  <c r="E12" i="60"/>
  <c r="D12" i="60"/>
  <c r="F12" i="60" s="1"/>
  <c r="T11" i="60"/>
  <c r="W11" i="60" s="1"/>
  <c r="M11" i="60"/>
  <c r="P11" i="60" s="1"/>
  <c r="K11" i="60"/>
  <c r="E11" i="60"/>
  <c r="D11" i="60"/>
  <c r="F11" i="60" s="1"/>
  <c r="T10" i="60"/>
  <c r="V10" i="60" s="1"/>
  <c r="W10" i="60" s="1"/>
  <c r="S10" i="60"/>
  <c r="P10" i="60"/>
  <c r="T9" i="60"/>
  <c r="W9" i="60" s="1"/>
  <c r="M9" i="60"/>
  <c r="P9" i="60" s="1"/>
  <c r="K9" i="60"/>
  <c r="E9" i="60"/>
  <c r="D9" i="60"/>
  <c r="F9" i="60" s="1"/>
  <c r="T8" i="60"/>
  <c r="W8" i="60" s="1"/>
  <c r="M8" i="60"/>
  <c r="P8" i="60" s="1"/>
  <c r="K8" i="60"/>
  <c r="E8" i="60"/>
  <c r="D8" i="60"/>
  <c r="F8" i="60" s="1"/>
  <c r="T7" i="60"/>
  <c r="W7" i="60" s="1"/>
  <c r="M7" i="60"/>
  <c r="P7" i="60" s="1"/>
  <c r="K7" i="60"/>
  <c r="E7" i="60"/>
  <c r="D7" i="60"/>
  <c r="F7" i="60" s="1"/>
  <c r="F23" i="60" l="1"/>
  <c r="W23" i="8"/>
  <c r="P23" i="8"/>
  <c r="W22" i="8"/>
  <c r="P22" i="8"/>
  <c r="W21" i="8"/>
  <c r="P21" i="8"/>
  <c r="W20" i="8"/>
  <c r="P20" i="8"/>
  <c r="W19" i="8"/>
  <c r="P19" i="8"/>
  <c r="W18" i="8"/>
  <c r="P18" i="8"/>
  <c r="W17" i="8"/>
  <c r="P17" i="8"/>
  <c r="W16" i="8"/>
  <c r="P16" i="8"/>
  <c r="W15" i="8"/>
  <c r="P15" i="8"/>
  <c r="W14" i="8"/>
  <c r="P14" i="8"/>
  <c r="W13" i="8"/>
  <c r="P13" i="8"/>
  <c r="W12" i="8"/>
  <c r="P12" i="8"/>
  <c r="W11" i="8"/>
  <c r="P11" i="8"/>
  <c r="W10" i="8"/>
  <c r="P10" i="8"/>
  <c r="V9" i="8"/>
  <c r="T9" i="8" s="1"/>
  <c r="S9" i="8"/>
  <c r="M9" i="8"/>
  <c r="P9" i="8" s="1"/>
  <c r="K9" i="8"/>
  <c r="E9" i="8"/>
  <c r="D9" i="8"/>
  <c r="F9" i="8" s="1"/>
  <c r="V8" i="8"/>
  <c r="T8" i="8" s="1"/>
  <c r="M8" i="8"/>
  <c r="P8" i="8" s="1"/>
  <c r="K8" i="8"/>
  <c r="E8" i="8"/>
  <c r="D8" i="8"/>
  <c r="F8" i="8" s="1"/>
  <c r="T7" i="8"/>
  <c r="W7" i="8" s="1"/>
  <c r="M7" i="8"/>
  <c r="P7" i="8" s="1"/>
  <c r="K7" i="8"/>
  <c r="E7" i="8"/>
  <c r="D7" i="8"/>
  <c r="F7" i="8" s="1"/>
  <c r="W9" i="8" l="1"/>
  <c r="W8" i="8"/>
  <c r="T23" i="5" l="1"/>
  <c r="W23" i="5" s="1"/>
  <c r="O23" i="5"/>
  <c r="E23" i="5" s="1"/>
  <c r="L23" i="5"/>
  <c r="M23" i="5" s="1"/>
  <c r="K23" i="5"/>
  <c r="D23" i="5"/>
  <c r="T22" i="5"/>
  <c r="W22" i="5" s="1"/>
  <c r="M22" i="5"/>
  <c r="P22" i="5" s="1"/>
  <c r="K22" i="5"/>
  <c r="E22" i="5"/>
  <c r="D22" i="5"/>
  <c r="F22" i="5" s="1"/>
  <c r="T21" i="5"/>
  <c r="W21" i="5" s="1"/>
  <c r="M21" i="5"/>
  <c r="P21" i="5" s="1"/>
  <c r="K21" i="5"/>
  <c r="E21" i="5"/>
  <c r="D21" i="5"/>
  <c r="F21" i="5" s="1"/>
  <c r="T20" i="5"/>
  <c r="W20" i="5" s="1"/>
  <c r="M20" i="5"/>
  <c r="P20" i="5" s="1"/>
  <c r="K20" i="5"/>
  <c r="E20" i="5"/>
  <c r="D20" i="5"/>
  <c r="F20" i="5" s="1"/>
  <c r="T19" i="5"/>
  <c r="W19" i="5" s="1"/>
  <c r="M19" i="5"/>
  <c r="P19" i="5" s="1"/>
  <c r="K19" i="5"/>
  <c r="E19" i="5"/>
  <c r="D19" i="5"/>
  <c r="F19" i="5" s="1"/>
  <c r="T18" i="5"/>
  <c r="W18" i="5" s="1"/>
  <c r="M18" i="5"/>
  <c r="P18" i="5" s="1"/>
  <c r="K18" i="5"/>
  <c r="E18" i="5"/>
  <c r="D18" i="5"/>
  <c r="F18" i="5" s="1"/>
  <c r="T17" i="5"/>
  <c r="W17" i="5" s="1"/>
  <c r="M17" i="5"/>
  <c r="P17" i="5" s="1"/>
  <c r="K17" i="5"/>
  <c r="E17" i="5"/>
  <c r="D17" i="5"/>
  <c r="F17" i="5" s="1"/>
  <c r="T16" i="5"/>
  <c r="W16" i="5" s="1"/>
  <c r="M16" i="5"/>
  <c r="P16" i="5" s="1"/>
  <c r="K16" i="5"/>
  <c r="E16" i="5"/>
  <c r="D16" i="5"/>
  <c r="F16" i="5" s="1"/>
  <c r="T15" i="5"/>
  <c r="W15" i="5" s="1"/>
  <c r="M15" i="5"/>
  <c r="P15" i="5" s="1"/>
  <c r="K15" i="5"/>
  <c r="E15" i="5"/>
  <c r="D15" i="5"/>
  <c r="F15" i="5" s="1"/>
  <c r="T14" i="5"/>
  <c r="W14" i="5" s="1"/>
  <c r="M14" i="5"/>
  <c r="P14" i="5" s="1"/>
  <c r="K14" i="5"/>
  <c r="E14" i="5"/>
  <c r="D14" i="5"/>
  <c r="F14" i="5" s="1"/>
  <c r="T13" i="5"/>
  <c r="W13" i="5" s="1"/>
  <c r="M13" i="5"/>
  <c r="P13" i="5" s="1"/>
  <c r="K13" i="5"/>
  <c r="E13" i="5"/>
  <c r="D13" i="5"/>
  <c r="F13" i="5" s="1"/>
  <c r="T12" i="5"/>
  <c r="W12" i="5" s="1"/>
  <c r="M12" i="5"/>
  <c r="P12" i="5" s="1"/>
  <c r="K12" i="5"/>
  <c r="E12" i="5"/>
  <c r="D12" i="5"/>
  <c r="F12" i="5" s="1"/>
  <c r="W11" i="5"/>
  <c r="P11" i="5"/>
  <c r="W10" i="5"/>
  <c r="P10" i="5"/>
  <c r="T9" i="5"/>
  <c r="W9" i="5" s="1"/>
  <c r="M9" i="5"/>
  <c r="P9" i="5" s="1"/>
  <c r="K9" i="5"/>
  <c r="E9" i="5"/>
  <c r="D9" i="5"/>
  <c r="F9" i="5" s="1"/>
  <c r="T8" i="5"/>
  <c r="W8" i="5" s="1"/>
  <c r="M8" i="5"/>
  <c r="P8" i="5" s="1"/>
  <c r="K8" i="5"/>
  <c r="E8" i="5"/>
  <c r="D8" i="5"/>
  <c r="F8" i="5" s="1"/>
  <c r="T7" i="5"/>
  <c r="W7" i="5" s="1"/>
  <c r="M7" i="5"/>
  <c r="P7" i="5" s="1"/>
  <c r="K7" i="5"/>
  <c r="E7" i="5"/>
  <c r="D7" i="5"/>
  <c r="F7" i="5" s="1"/>
  <c r="P23" i="5" l="1"/>
  <c r="F23" i="5"/>
  <c r="T23" i="58"/>
  <c r="W23" i="58" s="1"/>
  <c r="L23" i="58"/>
  <c r="M23" i="58" s="1"/>
  <c r="P23" i="58" s="1"/>
  <c r="K23" i="58"/>
  <c r="E23" i="58"/>
  <c r="D23" i="58"/>
  <c r="F23" i="58" s="1"/>
  <c r="T22" i="58"/>
  <c r="W22" i="58" s="1"/>
  <c r="M22" i="58"/>
  <c r="P22" i="58" s="1"/>
  <c r="K22" i="58"/>
  <c r="E22" i="58"/>
  <c r="D22" i="58"/>
  <c r="F22" i="58" s="1"/>
  <c r="T21" i="58"/>
  <c r="W21" i="58" s="1"/>
  <c r="M21" i="58"/>
  <c r="P21" i="58" s="1"/>
  <c r="K21" i="58"/>
  <c r="E21" i="58"/>
  <c r="D21" i="58"/>
  <c r="F21" i="58" s="1"/>
  <c r="T20" i="58"/>
  <c r="W20" i="58" s="1"/>
  <c r="M20" i="58"/>
  <c r="P20" i="58" s="1"/>
  <c r="K20" i="58"/>
  <c r="E20" i="58"/>
  <c r="D20" i="58"/>
  <c r="F20" i="58" s="1"/>
  <c r="T19" i="58"/>
  <c r="W19" i="58" s="1"/>
  <c r="M19" i="58"/>
  <c r="P19" i="58" s="1"/>
  <c r="K19" i="58"/>
  <c r="E19" i="58"/>
  <c r="D19" i="58"/>
  <c r="F19" i="58" s="1"/>
  <c r="T18" i="58"/>
  <c r="W18" i="58" s="1"/>
  <c r="M18" i="58"/>
  <c r="P18" i="58" s="1"/>
  <c r="K18" i="58"/>
  <c r="E18" i="58"/>
  <c r="D18" i="58"/>
  <c r="F18" i="58" s="1"/>
  <c r="T17" i="58"/>
  <c r="W17" i="58" s="1"/>
  <c r="M17" i="58"/>
  <c r="P17" i="58" s="1"/>
  <c r="K17" i="58"/>
  <c r="E17" i="58"/>
  <c r="D17" i="58"/>
  <c r="F17" i="58" s="1"/>
  <c r="T16" i="58"/>
  <c r="W16" i="58" s="1"/>
  <c r="M16" i="58"/>
  <c r="P16" i="58" s="1"/>
  <c r="K16" i="58"/>
  <c r="E16" i="58"/>
  <c r="D16" i="58"/>
  <c r="F16" i="58" s="1"/>
  <c r="T15" i="58"/>
  <c r="W15" i="58" s="1"/>
  <c r="M15" i="58"/>
  <c r="P15" i="58" s="1"/>
  <c r="K15" i="58"/>
  <c r="E15" i="58"/>
  <c r="D15" i="58"/>
  <c r="F15" i="58" s="1"/>
  <c r="T14" i="58"/>
  <c r="W14" i="58" s="1"/>
  <c r="M14" i="58"/>
  <c r="P14" i="58" s="1"/>
  <c r="K14" i="58"/>
  <c r="E14" i="58"/>
  <c r="D14" i="58"/>
  <c r="F14" i="58" s="1"/>
  <c r="T13" i="58"/>
  <c r="W13" i="58" s="1"/>
  <c r="M13" i="58"/>
  <c r="P13" i="58" s="1"/>
  <c r="K13" i="58"/>
  <c r="E13" i="58"/>
  <c r="D13" i="58"/>
  <c r="F13" i="58" s="1"/>
  <c r="T12" i="58"/>
  <c r="W12" i="58" s="1"/>
  <c r="M12" i="58"/>
  <c r="P12" i="58" s="1"/>
  <c r="K12" i="58"/>
  <c r="E12" i="58"/>
  <c r="D12" i="58"/>
  <c r="F12" i="58" s="1"/>
  <c r="T11" i="58"/>
  <c r="W11" i="58" s="1"/>
  <c r="M11" i="58"/>
  <c r="P11" i="58" s="1"/>
  <c r="K11" i="58"/>
  <c r="E11" i="58"/>
  <c r="D11" i="58"/>
  <c r="F11" i="58" s="1"/>
  <c r="W10" i="58"/>
  <c r="M10" i="58"/>
  <c r="P10" i="58" s="1"/>
  <c r="F10" i="58"/>
  <c r="E10" i="58"/>
  <c r="T9" i="58"/>
  <c r="W9" i="58" s="1"/>
  <c r="L9" i="58"/>
  <c r="M9" i="58" s="1"/>
  <c r="P9" i="58" s="1"/>
  <c r="K9" i="58"/>
  <c r="E9" i="58"/>
  <c r="D9" i="58"/>
  <c r="F9" i="58" s="1"/>
  <c r="T8" i="58"/>
  <c r="W8" i="58" s="1"/>
  <c r="L8" i="58"/>
  <c r="M8" i="58" s="1"/>
  <c r="P8" i="58" s="1"/>
  <c r="K8" i="58"/>
  <c r="E8" i="58"/>
  <c r="D8" i="58"/>
  <c r="F8" i="58" s="1"/>
  <c r="T23" i="54" l="1"/>
  <c r="W23" i="54" s="1"/>
  <c r="O23" i="54"/>
  <c r="E23" i="54" s="1"/>
  <c r="L23" i="54"/>
  <c r="M23" i="54" s="1"/>
  <c r="K23" i="54"/>
  <c r="D23" i="54"/>
  <c r="T22" i="54"/>
  <c r="W22" i="54" s="1"/>
  <c r="M22" i="54"/>
  <c r="P22" i="54" s="1"/>
  <c r="K22" i="54"/>
  <c r="E22" i="54"/>
  <c r="D22" i="54"/>
  <c r="F22" i="54" s="1"/>
  <c r="T21" i="54"/>
  <c r="W21" i="54" s="1"/>
  <c r="M21" i="54"/>
  <c r="P21" i="54" s="1"/>
  <c r="K21" i="54"/>
  <c r="E21" i="54"/>
  <c r="D21" i="54"/>
  <c r="F21" i="54" s="1"/>
  <c r="T20" i="54"/>
  <c r="W20" i="54" s="1"/>
  <c r="M20" i="54"/>
  <c r="P20" i="54" s="1"/>
  <c r="K20" i="54"/>
  <c r="E20" i="54"/>
  <c r="D20" i="54"/>
  <c r="F20" i="54" s="1"/>
  <c r="T19" i="54"/>
  <c r="W19" i="54" s="1"/>
  <c r="M19" i="54"/>
  <c r="P19" i="54" s="1"/>
  <c r="K19" i="54"/>
  <c r="E19" i="54"/>
  <c r="D19" i="54"/>
  <c r="F19" i="54" s="1"/>
  <c r="T18" i="54"/>
  <c r="W18" i="54" s="1"/>
  <c r="M18" i="54"/>
  <c r="P18" i="54" s="1"/>
  <c r="K18" i="54"/>
  <c r="E18" i="54"/>
  <c r="D18" i="54"/>
  <c r="F18" i="54" s="1"/>
  <c r="T17" i="54"/>
  <c r="W17" i="54" s="1"/>
  <c r="M17" i="54"/>
  <c r="P17" i="54" s="1"/>
  <c r="K17" i="54"/>
  <c r="E17" i="54"/>
  <c r="D17" i="54"/>
  <c r="F17" i="54" s="1"/>
  <c r="T16" i="54"/>
  <c r="W16" i="54" s="1"/>
  <c r="M16" i="54"/>
  <c r="P16" i="54" s="1"/>
  <c r="K16" i="54"/>
  <c r="E16" i="54"/>
  <c r="D16" i="54"/>
  <c r="F16" i="54" s="1"/>
  <c r="T15" i="54"/>
  <c r="W15" i="54" s="1"/>
  <c r="M15" i="54"/>
  <c r="P15" i="54" s="1"/>
  <c r="K15" i="54"/>
  <c r="E15" i="54"/>
  <c r="D15" i="54"/>
  <c r="F15" i="54" s="1"/>
  <c r="T14" i="54"/>
  <c r="W14" i="54" s="1"/>
  <c r="M14" i="54"/>
  <c r="P14" i="54" s="1"/>
  <c r="K14" i="54"/>
  <c r="E14" i="54"/>
  <c r="D14" i="54"/>
  <c r="F14" i="54" s="1"/>
  <c r="T13" i="54"/>
  <c r="W13" i="54" s="1"/>
  <c r="M13" i="54"/>
  <c r="P13" i="54" s="1"/>
  <c r="K13" i="54"/>
  <c r="E13" i="54"/>
  <c r="D13" i="54"/>
  <c r="F13" i="54" s="1"/>
  <c r="T12" i="54"/>
  <c r="W12" i="54" s="1"/>
  <c r="M12" i="54"/>
  <c r="P12" i="54" s="1"/>
  <c r="K12" i="54"/>
  <c r="E12" i="54"/>
  <c r="D12" i="54"/>
  <c r="F12" i="54" s="1"/>
  <c r="T11" i="54"/>
  <c r="W11" i="54" s="1"/>
  <c r="M11" i="54"/>
  <c r="P11" i="54" s="1"/>
  <c r="K11" i="54"/>
  <c r="E11" i="54"/>
  <c r="D11" i="54"/>
  <c r="F11" i="54" s="1"/>
  <c r="W10" i="54"/>
  <c r="P10" i="54"/>
  <c r="D10" i="54"/>
  <c r="T9" i="54"/>
  <c r="W9" i="54" s="1"/>
  <c r="M9" i="54"/>
  <c r="P9" i="54" s="1"/>
  <c r="K9" i="54"/>
  <c r="E9" i="54"/>
  <c r="D9" i="54"/>
  <c r="F9" i="54" s="1"/>
  <c r="T8" i="54"/>
  <c r="W8" i="54" s="1"/>
  <c r="M8" i="54"/>
  <c r="P8" i="54" s="1"/>
  <c r="K8" i="54"/>
  <c r="E8" i="54"/>
  <c r="D8" i="54"/>
  <c r="F8" i="54" s="1"/>
  <c r="T7" i="54"/>
  <c r="W7" i="54" s="1"/>
  <c r="M7" i="54"/>
  <c r="P7" i="54" s="1"/>
  <c r="K7" i="54"/>
  <c r="E7" i="54"/>
  <c r="D7" i="54"/>
  <c r="F7" i="54" s="1"/>
  <c r="P23" i="54" l="1"/>
  <c r="F23" i="54"/>
  <c r="T23" i="64"/>
  <c r="W23" i="64" s="1"/>
  <c r="O23" i="64"/>
  <c r="E23" i="64" s="1"/>
  <c r="L23" i="64"/>
  <c r="M23" i="64" s="1"/>
  <c r="P23" i="64" s="1"/>
  <c r="K23" i="64"/>
  <c r="C23" i="64"/>
  <c r="D23" i="64" s="1"/>
  <c r="T22" i="64"/>
  <c r="W22" i="64" s="1"/>
  <c r="M22" i="64"/>
  <c r="P22" i="64" s="1"/>
  <c r="K22" i="64"/>
  <c r="E22" i="64"/>
  <c r="D22" i="64"/>
  <c r="F22" i="64" s="1"/>
  <c r="T21" i="64"/>
  <c r="W21" i="64" s="1"/>
  <c r="M21" i="64"/>
  <c r="P21" i="64" s="1"/>
  <c r="K21" i="64"/>
  <c r="E21" i="64"/>
  <c r="D21" i="64"/>
  <c r="F21" i="64" s="1"/>
  <c r="T20" i="64"/>
  <c r="W20" i="64" s="1"/>
  <c r="M20" i="64"/>
  <c r="P20" i="64" s="1"/>
  <c r="K20" i="64"/>
  <c r="E20" i="64"/>
  <c r="D20" i="64"/>
  <c r="F20" i="64" s="1"/>
  <c r="T19" i="64"/>
  <c r="W19" i="64" s="1"/>
  <c r="M19" i="64"/>
  <c r="P19" i="64" s="1"/>
  <c r="K19" i="64"/>
  <c r="E19" i="64"/>
  <c r="D19" i="64"/>
  <c r="F19" i="64" s="1"/>
  <c r="T18" i="64"/>
  <c r="W18" i="64" s="1"/>
  <c r="M18" i="64"/>
  <c r="P18" i="64" s="1"/>
  <c r="K18" i="64"/>
  <c r="E18" i="64"/>
  <c r="D18" i="64"/>
  <c r="F18" i="64" s="1"/>
  <c r="T17" i="64"/>
  <c r="W17" i="64" s="1"/>
  <c r="M17" i="64"/>
  <c r="P17" i="64" s="1"/>
  <c r="K17" i="64"/>
  <c r="E17" i="64"/>
  <c r="D17" i="64"/>
  <c r="F17" i="64" s="1"/>
  <c r="T16" i="64"/>
  <c r="W16" i="64" s="1"/>
  <c r="M16" i="64"/>
  <c r="P16" i="64" s="1"/>
  <c r="K16" i="64"/>
  <c r="E16" i="64"/>
  <c r="D16" i="64"/>
  <c r="F16" i="64" s="1"/>
  <c r="T15" i="64"/>
  <c r="W15" i="64" s="1"/>
  <c r="M15" i="64"/>
  <c r="P15" i="64" s="1"/>
  <c r="K15" i="64"/>
  <c r="E15" i="64"/>
  <c r="D15" i="64"/>
  <c r="F15" i="64" s="1"/>
  <c r="T14" i="64"/>
  <c r="W14" i="64" s="1"/>
  <c r="M14" i="64"/>
  <c r="P14" i="64" s="1"/>
  <c r="K14" i="64"/>
  <c r="E14" i="64"/>
  <c r="D14" i="64"/>
  <c r="F14" i="64" s="1"/>
  <c r="T13" i="64"/>
  <c r="W13" i="64" s="1"/>
  <c r="M13" i="64"/>
  <c r="P13" i="64" s="1"/>
  <c r="K13" i="64"/>
  <c r="E13" i="64"/>
  <c r="D13" i="64"/>
  <c r="F13" i="64" s="1"/>
  <c r="T12" i="64"/>
  <c r="W12" i="64" s="1"/>
  <c r="M12" i="64"/>
  <c r="P12" i="64" s="1"/>
  <c r="K12" i="64"/>
  <c r="E12" i="64"/>
  <c r="D12" i="64"/>
  <c r="F12" i="64" s="1"/>
  <c r="T11" i="64"/>
  <c r="W11" i="64" s="1"/>
  <c r="M11" i="64"/>
  <c r="P11" i="64" s="1"/>
  <c r="K11" i="64"/>
  <c r="E11" i="64"/>
  <c r="D11" i="64"/>
  <c r="F11" i="64" s="1"/>
  <c r="W10" i="64"/>
  <c r="P10" i="64"/>
  <c r="T9" i="64"/>
  <c r="W9" i="64" s="1"/>
  <c r="M9" i="64"/>
  <c r="P9" i="64" s="1"/>
  <c r="K9" i="64"/>
  <c r="E9" i="64"/>
  <c r="D9" i="64"/>
  <c r="F9" i="64" s="1"/>
  <c r="T8" i="64"/>
  <c r="W8" i="64" s="1"/>
  <c r="M8" i="64"/>
  <c r="P8" i="64" s="1"/>
  <c r="K8" i="64"/>
  <c r="E8" i="64"/>
  <c r="D8" i="64"/>
  <c r="F8" i="64" s="1"/>
  <c r="T7" i="64"/>
  <c r="W7" i="64" s="1"/>
  <c r="M7" i="64"/>
  <c r="P7" i="64" s="1"/>
  <c r="K7" i="64"/>
  <c r="E7" i="64"/>
  <c r="D7" i="64"/>
  <c r="F7" i="64" s="1"/>
  <c r="F23" i="64" l="1"/>
  <c r="T23" i="49"/>
  <c r="W23" i="49" s="1"/>
  <c r="O23" i="49"/>
  <c r="E23" i="49" s="1"/>
  <c r="L23" i="49"/>
  <c r="M23" i="49" s="1"/>
  <c r="K23" i="49"/>
  <c r="D23" i="49"/>
  <c r="T22" i="49"/>
  <c r="W22" i="49" s="1"/>
  <c r="M22" i="49"/>
  <c r="P22" i="49" s="1"/>
  <c r="K22" i="49"/>
  <c r="E22" i="49"/>
  <c r="D22" i="49"/>
  <c r="F22" i="49" s="1"/>
  <c r="T21" i="49"/>
  <c r="W21" i="49" s="1"/>
  <c r="M21" i="49"/>
  <c r="P21" i="49" s="1"/>
  <c r="K21" i="49"/>
  <c r="E21" i="49"/>
  <c r="D21" i="49"/>
  <c r="F21" i="49" s="1"/>
  <c r="T20" i="49"/>
  <c r="W20" i="49" s="1"/>
  <c r="M20" i="49"/>
  <c r="P20" i="49" s="1"/>
  <c r="K20" i="49"/>
  <c r="E20" i="49"/>
  <c r="D20" i="49"/>
  <c r="F20" i="49" s="1"/>
  <c r="T19" i="49"/>
  <c r="W19" i="49" s="1"/>
  <c r="M19" i="49"/>
  <c r="P19" i="49" s="1"/>
  <c r="K19" i="49"/>
  <c r="E19" i="49"/>
  <c r="D19" i="49"/>
  <c r="F19" i="49" s="1"/>
  <c r="T18" i="49"/>
  <c r="W18" i="49" s="1"/>
  <c r="M18" i="49"/>
  <c r="P18" i="49" s="1"/>
  <c r="K18" i="49"/>
  <c r="E18" i="49"/>
  <c r="D18" i="49"/>
  <c r="F18" i="49" s="1"/>
  <c r="T17" i="49"/>
  <c r="W17" i="49" s="1"/>
  <c r="M17" i="49"/>
  <c r="P17" i="49" s="1"/>
  <c r="K17" i="49"/>
  <c r="E17" i="49"/>
  <c r="D17" i="49"/>
  <c r="F17" i="49" s="1"/>
  <c r="T16" i="49"/>
  <c r="W16" i="49" s="1"/>
  <c r="M16" i="49"/>
  <c r="P16" i="49" s="1"/>
  <c r="K16" i="49"/>
  <c r="E16" i="49"/>
  <c r="D16" i="49"/>
  <c r="F16" i="49" s="1"/>
  <c r="T15" i="49"/>
  <c r="W15" i="49" s="1"/>
  <c r="M15" i="49"/>
  <c r="P15" i="49" s="1"/>
  <c r="K15" i="49"/>
  <c r="E15" i="49"/>
  <c r="D15" i="49"/>
  <c r="F15" i="49" s="1"/>
  <c r="T14" i="49"/>
  <c r="W14" i="49" s="1"/>
  <c r="M14" i="49"/>
  <c r="P14" i="49" s="1"/>
  <c r="K14" i="49"/>
  <c r="E14" i="49"/>
  <c r="D14" i="49"/>
  <c r="F14" i="49" s="1"/>
  <c r="T13" i="49"/>
  <c r="W13" i="49" s="1"/>
  <c r="M13" i="49"/>
  <c r="P13" i="49" s="1"/>
  <c r="K13" i="49"/>
  <c r="E13" i="49"/>
  <c r="D13" i="49"/>
  <c r="F13" i="49" s="1"/>
  <c r="T12" i="49"/>
  <c r="W12" i="49" s="1"/>
  <c r="M12" i="49"/>
  <c r="P12" i="49" s="1"/>
  <c r="K12" i="49"/>
  <c r="E12" i="49"/>
  <c r="D12" i="49"/>
  <c r="F12" i="49" s="1"/>
  <c r="T11" i="49"/>
  <c r="W11" i="49" s="1"/>
  <c r="M11" i="49"/>
  <c r="P11" i="49" s="1"/>
  <c r="K11" i="49"/>
  <c r="E11" i="49"/>
  <c r="D11" i="49"/>
  <c r="F11" i="49" s="1"/>
  <c r="W10" i="49"/>
  <c r="P10" i="49"/>
  <c r="T9" i="49"/>
  <c r="W9" i="49" s="1"/>
  <c r="M9" i="49"/>
  <c r="P9" i="49" s="1"/>
  <c r="K9" i="49"/>
  <c r="E9" i="49"/>
  <c r="D9" i="49"/>
  <c r="F9" i="49" s="1"/>
  <c r="T8" i="49"/>
  <c r="W8" i="49" s="1"/>
  <c r="M8" i="49"/>
  <c r="P8" i="49" s="1"/>
  <c r="K8" i="49"/>
  <c r="E8" i="49"/>
  <c r="D8" i="49"/>
  <c r="F8" i="49" s="1"/>
  <c r="T7" i="49"/>
  <c r="W7" i="49" s="1"/>
  <c r="M7" i="49"/>
  <c r="P7" i="49" s="1"/>
  <c r="K7" i="49"/>
  <c r="E7" i="49"/>
  <c r="D7" i="49"/>
  <c r="F7" i="49" s="1"/>
  <c r="P23" i="49" l="1"/>
  <c r="F23" i="49"/>
  <c r="T23" i="47"/>
  <c r="W23" i="47" s="1"/>
  <c r="L23" i="47"/>
  <c r="M23" i="47" s="1"/>
  <c r="P23" i="47" s="1"/>
  <c r="K23" i="47"/>
  <c r="E23" i="47"/>
  <c r="D23" i="47"/>
  <c r="F23" i="47" s="1"/>
  <c r="T22" i="47"/>
  <c r="W22" i="47" s="1"/>
  <c r="M22" i="47"/>
  <c r="P22" i="47" s="1"/>
  <c r="K22" i="47"/>
  <c r="E22" i="47"/>
  <c r="C22" i="47"/>
  <c r="D22" i="47" s="1"/>
  <c r="F22" i="47" s="1"/>
  <c r="T21" i="47"/>
  <c r="W21" i="47" s="1"/>
  <c r="M21" i="47"/>
  <c r="P21" i="47" s="1"/>
  <c r="K21" i="47"/>
  <c r="E21" i="47"/>
  <c r="D21" i="47"/>
  <c r="F21" i="47" s="1"/>
  <c r="T20" i="47"/>
  <c r="W20" i="47" s="1"/>
  <c r="M20" i="47"/>
  <c r="P20" i="47" s="1"/>
  <c r="K20" i="47"/>
  <c r="E20" i="47"/>
  <c r="D20" i="47"/>
  <c r="F20" i="47" s="1"/>
  <c r="T19" i="47"/>
  <c r="W19" i="47" s="1"/>
  <c r="M19" i="47"/>
  <c r="P19" i="47" s="1"/>
  <c r="K19" i="47"/>
  <c r="E19" i="47"/>
  <c r="D19" i="47"/>
  <c r="F19" i="47" s="1"/>
  <c r="T18" i="47"/>
  <c r="W18" i="47" s="1"/>
  <c r="M18" i="47"/>
  <c r="P18" i="47" s="1"/>
  <c r="K18" i="47"/>
  <c r="E18" i="47"/>
  <c r="D18" i="47"/>
  <c r="F18" i="47" s="1"/>
  <c r="T17" i="47"/>
  <c r="W17" i="47" s="1"/>
  <c r="M17" i="47"/>
  <c r="P17" i="47" s="1"/>
  <c r="K17" i="47"/>
  <c r="E17" i="47"/>
  <c r="D17" i="47"/>
  <c r="F17" i="47" s="1"/>
  <c r="T16" i="47"/>
  <c r="W16" i="47" s="1"/>
  <c r="M16" i="47"/>
  <c r="P16" i="47" s="1"/>
  <c r="K16" i="47"/>
  <c r="E16" i="47"/>
  <c r="D16" i="47"/>
  <c r="F16" i="47" s="1"/>
  <c r="T15" i="47"/>
  <c r="W15" i="47" s="1"/>
  <c r="M15" i="47"/>
  <c r="P15" i="47" s="1"/>
  <c r="K15" i="47"/>
  <c r="E15" i="47"/>
  <c r="D15" i="47"/>
  <c r="F15" i="47" s="1"/>
  <c r="T14" i="47"/>
  <c r="W14" i="47" s="1"/>
  <c r="M14" i="47"/>
  <c r="P14" i="47" s="1"/>
  <c r="K14" i="47"/>
  <c r="E14" i="47"/>
  <c r="D14" i="47"/>
  <c r="F14" i="47" s="1"/>
  <c r="T13" i="47"/>
  <c r="W13" i="47" s="1"/>
  <c r="M13" i="47"/>
  <c r="P13" i="47" s="1"/>
  <c r="K13" i="47"/>
  <c r="E13" i="47"/>
  <c r="D13" i="47"/>
  <c r="F13" i="47" s="1"/>
  <c r="T12" i="47"/>
  <c r="W12" i="47" s="1"/>
  <c r="M12" i="47"/>
  <c r="P12" i="47" s="1"/>
  <c r="K12" i="47"/>
  <c r="E12" i="47"/>
  <c r="D12" i="47"/>
  <c r="F12" i="47" s="1"/>
  <c r="T11" i="47"/>
  <c r="W11" i="47" s="1"/>
  <c r="M11" i="47"/>
  <c r="P11" i="47" s="1"/>
  <c r="K11" i="47"/>
  <c r="E11" i="47"/>
  <c r="D11" i="47"/>
  <c r="F11" i="47" s="1"/>
  <c r="W10" i="47"/>
  <c r="P10" i="47"/>
  <c r="T9" i="47"/>
  <c r="W9" i="47" s="1"/>
  <c r="M9" i="47"/>
  <c r="P9" i="47" s="1"/>
  <c r="K9" i="47"/>
  <c r="E9" i="47"/>
  <c r="D9" i="47"/>
  <c r="F9" i="47" s="1"/>
  <c r="T8" i="47"/>
  <c r="W8" i="47" s="1"/>
  <c r="M8" i="47"/>
  <c r="P8" i="47" s="1"/>
  <c r="K8" i="47"/>
  <c r="H8" i="47"/>
  <c r="E8" i="47"/>
  <c r="C8" i="47"/>
  <c r="D8" i="47" s="1"/>
  <c r="F8" i="47" s="1"/>
  <c r="T7" i="47"/>
  <c r="W7" i="47" s="1"/>
  <c r="M7" i="47"/>
  <c r="P7" i="47" s="1"/>
  <c r="K7" i="47"/>
  <c r="E7" i="47"/>
  <c r="D7" i="47"/>
  <c r="F7" i="47" s="1"/>
  <c r="T20" i="46" l="1"/>
  <c r="W20" i="46" s="1"/>
  <c r="M20" i="46"/>
  <c r="K20" i="46"/>
  <c r="E20" i="46"/>
  <c r="D20" i="46"/>
  <c r="F20" i="46" s="1"/>
  <c r="T19" i="46"/>
  <c r="W19" i="46" s="1"/>
  <c r="M19" i="46"/>
  <c r="P19" i="46" s="1"/>
  <c r="K19" i="46"/>
  <c r="E19" i="46"/>
  <c r="D19" i="46"/>
  <c r="F19" i="46" s="1"/>
  <c r="T18" i="46"/>
  <c r="W18" i="46" s="1"/>
  <c r="M18" i="46"/>
  <c r="P18" i="46" s="1"/>
  <c r="K18" i="46"/>
  <c r="E18" i="46"/>
  <c r="D18" i="46"/>
  <c r="F18" i="46" s="1"/>
  <c r="T17" i="46"/>
  <c r="W17" i="46" s="1"/>
  <c r="M17" i="46"/>
  <c r="P17" i="46" s="1"/>
  <c r="K17" i="46"/>
  <c r="E17" i="46"/>
  <c r="D17" i="46"/>
  <c r="F17" i="46" s="1"/>
  <c r="T16" i="46"/>
  <c r="W16" i="46" s="1"/>
  <c r="M16" i="46"/>
  <c r="P16" i="46" s="1"/>
  <c r="K16" i="46"/>
  <c r="E16" i="46"/>
  <c r="D16" i="46"/>
  <c r="F16" i="46" s="1"/>
  <c r="T15" i="46"/>
  <c r="W15" i="46" s="1"/>
  <c r="M15" i="46"/>
  <c r="P15" i="46" s="1"/>
  <c r="K15" i="46"/>
  <c r="E15" i="46"/>
  <c r="D15" i="46"/>
  <c r="F15" i="46" s="1"/>
  <c r="T14" i="46"/>
  <c r="W14" i="46" s="1"/>
  <c r="M14" i="46"/>
  <c r="P14" i="46" s="1"/>
  <c r="K14" i="46"/>
  <c r="E14" i="46"/>
  <c r="D14" i="46"/>
  <c r="F14" i="46" s="1"/>
  <c r="T13" i="46"/>
  <c r="W13" i="46" s="1"/>
  <c r="M13" i="46"/>
  <c r="P13" i="46" s="1"/>
  <c r="K13" i="46"/>
  <c r="E13" i="46"/>
  <c r="D13" i="46"/>
  <c r="F13" i="46" s="1"/>
  <c r="T12" i="46"/>
  <c r="W12" i="46" s="1"/>
  <c r="M12" i="46"/>
  <c r="P12" i="46" s="1"/>
  <c r="K12" i="46"/>
  <c r="E12" i="46"/>
  <c r="D12" i="46"/>
  <c r="F12" i="46" s="1"/>
  <c r="T11" i="46"/>
  <c r="W11" i="46" s="1"/>
  <c r="M11" i="46"/>
  <c r="P11" i="46" s="1"/>
  <c r="K11" i="46"/>
  <c r="E11" i="46"/>
  <c r="D11" i="46"/>
  <c r="F11" i="46" s="1"/>
  <c r="W10" i="46"/>
  <c r="M10" i="46"/>
  <c r="P10" i="46" s="1"/>
  <c r="K10" i="46"/>
  <c r="E10" i="46"/>
  <c r="D10" i="46"/>
  <c r="F10" i="46" s="1"/>
  <c r="T9" i="46"/>
  <c r="W9" i="46" s="1"/>
  <c r="M9" i="46"/>
  <c r="P9" i="46" s="1"/>
  <c r="K9" i="46"/>
  <c r="E9" i="46"/>
  <c r="D9" i="46"/>
  <c r="F9" i="46" s="1"/>
  <c r="U8" i="46"/>
  <c r="T8" i="46" s="1"/>
  <c r="W8" i="46" s="1"/>
  <c r="M8" i="46"/>
  <c r="K8" i="46"/>
  <c r="D8" i="46"/>
  <c r="T7" i="46"/>
  <c r="W7" i="46" s="1"/>
  <c r="M7" i="46"/>
  <c r="P7" i="46" s="1"/>
  <c r="K7" i="46"/>
  <c r="E7" i="46"/>
  <c r="D7" i="46"/>
  <c r="F7" i="46" s="1"/>
  <c r="O8" i="46" l="1"/>
  <c r="F8" i="46" l="1"/>
  <c r="E8" i="46"/>
  <c r="P8" i="46"/>
  <c r="T9" i="65"/>
  <c r="W9" i="65" s="1"/>
  <c r="M9" i="65"/>
  <c r="P9" i="65" s="1"/>
  <c r="K9" i="65"/>
  <c r="D9" i="65"/>
  <c r="T8" i="65"/>
  <c r="W8" i="65" s="1"/>
  <c r="M8" i="65"/>
  <c r="P8" i="65" s="1"/>
  <c r="K8" i="65"/>
  <c r="E8" i="65"/>
  <c r="D8" i="65"/>
  <c r="F8" i="65" s="1"/>
  <c r="T7" i="65"/>
  <c r="W7" i="65" s="1"/>
  <c r="M7" i="65"/>
  <c r="P7" i="65" s="1"/>
  <c r="K7" i="65"/>
  <c r="E7" i="65"/>
  <c r="D7" i="65"/>
  <c r="F7" i="65" s="1"/>
  <c r="T12" i="43" l="1"/>
  <c r="W12" i="43" s="1"/>
  <c r="M12" i="43"/>
  <c r="P12" i="43" s="1"/>
  <c r="K12" i="43"/>
  <c r="E12" i="43"/>
  <c r="D12" i="43"/>
  <c r="F12" i="43" s="1"/>
  <c r="T11" i="43"/>
  <c r="W11" i="43" s="1"/>
  <c r="M11" i="43"/>
  <c r="P11" i="43" s="1"/>
  <c r="K11" i="43"/>
  <c r="E11" i="43"/>
  <c r="D11" i="43"/>
  <c r="F11" i="43" s="1"/>
  <c r="W10" i="43"/>
  <c r="M10" i="43"/>
  <c r="P10" i="43" s="1"/>
  <c r="K10" i="43"/>
  <c r="T9" i="43"/>
  <c r="W9" i="43" s="1"/>
  <c r="M9" i="43"/>
  <c r="P9" i="43" s="1"/>
  <c r="K9" i="43"/>
  <c r="E9" i="43"/>
  <c r="D9" i="43"/>
  <c r="F9" i="43" s="1"/>
  <c r="T8" i="43"/>
  <c r="W8" i="43" s="1"/>
  <c r="M8" i="43"/>
  <c r="P8" i="43" s="1"/>
  <c r="K8" i="43"/>
  <c r="E8" i="43"/>
  <c r="D8" i="43"/>
  <c r="F8" i="43" s="1"/>
  <c r="T7" i="43"/>
  <c r="W7" i="43" s="1"/>
  <c r="S7" i="43"/>
  <c r="M7" i="43"/>
  <c r="P7" i="43" s="1"/>
  <c r="K7" i="43"/>
  <c r="E7" i="43"/>
  <c r="D7" i="43"/>
  <c r="F7" i="43" s="1"/>
  <c r="T23" i="42" l="1"/>
  <c r="W23" i="42" s="1"/>
  <c r="M23" i="42"/>
  <c r="P23" i="42" s="1"/>
  <c r="K23" i="42"/>
  <c r="E23" i="42"/>
  <c r="C23" i="42"/>
  <c r="D23" i="42" s="1"/>
  <c r="F23" i="42" s="1"/>
  <c r="T22" i="42"/>
  <c r="W22" i="42" s="1"/>
  <c r="L22" i="42"/>
  <c r="M22" i="42" s="1"/>
  <c r="P22" i="42" s="1"/>
  <c r="K22" i="42"/>
  <c r="E22" i="42"/>
  <c r="C22" i="42"/>
  <c r="D22" i="42" s="1"/>
  <c r="F22" i="42" s="1"/>
  <c r="T21" i="42"/>
  <c r="W21" i="42" s="1"/>
  <c r="M21" i="42"/>
  <c r="P21" i="42" s="1"/>
  <c r="K21" i="42"/>
  <c r="E21" i="42"/>
  <c r="D21" i="42"/>
  <c r="F21" i="42" s="1"/>
  <c r="T20" i="42"/>
  <c r="W20" i="42" s="1"/>
  <c r="M20" i="42"/>
  <c r="P20" i="42" s="1"/>
  <c r="K20" i="42"/>
  <c r="E20" i="42"/>
  <c r="D20" i="42"/>
  <c r="F20" i="42" s="1"/>
  <c r="T19" i="42"/>
  <c r="W19" i="42" s="1"/>
  <c r="M19" i="42"/>
  <c r="P19" i="42" s="1"/>
  <c r="K19" i="42"/>
  <c r="E19" i="42"/>
  <c r="D19" i="42"/>
  <c r="F19" i="42" s="1"/>
  <c r="T18" i="42"/>
  <c r="W18" i="42" s="1"/>
  <c r="M18" i="42"/>
  <c r="P18" i="42" s="1"/>
  <c r="K18" i="42"/>
  <c r="E18" i="42"/>
  <c r="D18" i="42"/>
  <c r="F18" i="42" s="1"/>
  <c r="T17" i="42"/>
  <c r="W17" i="42" s="1"/>
  <c r="M17" i="42"/>
  <c r="P17" i="42" s="1"/>
  <c r="K17" i="42"/>
  <c r="E17" i="42"/>
  <c r="D17" i="42"/>
  <c r="F17" i="42" s="1"/>
  <c r="T16" i="42"/>
  <c r="W16" i="42" s="1"/>
  <c r="M16" i="42"/>
  <c r="P16" i="42" s="1"/>
  <c r="K16" i="42"/>
  <c r="E16" i="42"/>
  <c r="D16" i="42"/>
  <c r="F16" i="42" s="1"/>
  <c r="T15" i="42"/>
  <c r="W15" i="42" s="1"/>
  <c r="M15" i="42"/>
  <c r="P15" i="42" s="1"/>
  <c r="K15" i="42"/>
  <c r="E15" i="42"/>
  <c r="D15" i="42"/>
  <c r="F15" i="42" s="1"/>
  <c r="T14" i="42"/>
  <c r="W14" i="42" s="1"/>
  <c r="M14" i="42"/>
  <c r="P14" i="42" s="1"/>
  <c r="K14" i="42"/>
  <c r="E14" i="42"/>
  <c r="D14" i="42"/>
  <c r="F14" i="42" s="1"/>
  <c r="T13" i="42"/>
  <c r="W13" i="42" s="1"/>
  <c r="M13" i="42"/>
  <c r="P13" i="42" s="1"/>
  <c r="K13" i="42"/>
  <c r="E13" i="42"/>
  <c r="D13" i="42"/>
  <c r="F13" i="42" s="1"/>
  <c r="T12" i="42"/>
  <c r="W12" i="42" s="1"/>
  <c r="M12" i="42"/>
  <c r="P12" i="42" s="1"/>
  <c r="K12" i="42"/>
  <c r="E12" i="42"/>
  <c r="D12" i="42"/>
  <c r="F12" i="42" s="1"/>
  <c r="W11" i="42"/>
  <c r="P11" i="42"/>
  <c r="W10" i="42"/>
  <c r="P10" i="42"/>
  <c r="T9" i="42"/>
  <c r="W9" i="42" s="1"/>
  <c r="M9" i="42"/>
  <c r="P9" i="42" s="1"/>
  <c r="K9" i="42"/>
  <c r="E9" i="42"/>
  <c r="D9" i="42"/>
  <c r="F9" i="42" s="1"/>
  <c r="T8" i="42"/>
  <c r="W8" i="42" s="1"/>
  <c r="M8" i="42"/>
  <c r="P8" i="42" s="1"/>
  <c r="K8" i="42"/>
  <c r="E8" i="42"/>
  <c r="D8" i="42"/>
  <c r="F8" i="42" s="1"/>
  <c r="T7" i="42"/>
  <c r="W7" i="42" s="1"/>
  <c r="M7" i="42"/>
  <c r="P7" i="42" s="1"/>
  <c r="K7" i="42"/>
  <c r="E7" i="42"/>
  <c r="D7" i="42"/>
  <c r="F7" i="42" s="1"/>
  <c r="T23" i="41" l="1"/>
  <c r="W23" i="41" s="1"/>
  <c r="O23" i="41"/>
  <c r="E23" i="41" s="1"/>
  <c r="L23" i="41"/>
  <c r="M23" i="41" s="1"/>
  <c r="P23" i="41" s="1"/>
  <c r="K23" i="41"/>
  <c r="D23" i="41"/>
  <c r="T22" i="41"/>
  <c r="W22" i="41" s="1"/>
  <c r="M22" i="41"/>
  <c r="P22" i="41" s="1"/>
  <c r="K22" i="41"/>
  <c r="E22" i="41"/>
  <c r="D22" i="41"/>
  <c r="F22" i="41" s="1"/>
  <c r="T21" i="41"/>
  <c r="W21" i="41" s="1"/>
  <c r="M21" i="41"/>
  <c r="P21" i="41" s="1"/>
  <c r="K21" i="41"/>
  <c r="E21" i="41"/>
  <c r="D21" i="41"/>
  <c r="F21" i="41" s="1"/>
  <c r="T20" i="41"/>
  <c r="W20" i="41" s="1"/>
  <c r="M20" i="41"/>
  <c r="P20" i="41" s="1"/>
  <c r="K20" i="41"/>
  <c r="E20" i="41"/>
  <c r="D20" i="41"/>
  <c r="F20" i="41" s="1"/>
  <c r="T19" i="41"/>
  <c r="W19" i="41" s="1"/>
  <c r="M19" i="41"/>
  <c r="P19" i="41" s="1"/>
  <c r="K19" i="41"/>
  <c r="E19" i="41"/>
  <c r="D19" i="41"/>
  <c r="F19" i="41" s="1"/>
  <c r="T18" i="41"/>
  <c r="W18" i="41" s="1"/>
  <c r="M18" i="41"/>
  <c r="P18" i="41" s="1"/>
  <c r="K18" i="41"/>
  <c r="E18" i="41"/>
  <c r="D18" i="41"/>
  <c r="F18" i="41" s="1"/>
  <c r="T17" i="41"/>
  <c r="W17" i="41" s="1"/>
  <c r="M17" i="41"/>
  <c r="P17" i="41" s="1"/>
  <c r="K17" i="41"/>
  <c r="E17" i="41"/>
  <c r="D17" i="41"/>
  <c r="F17" i="41" s="1"/>
  <c r="T16" i="41"/>
  <c r="W16" i="41" s="1"/>
  <c r="M16" i="41"/>
  <c r="P16" i="41" s="1"/>
  <c r="K16" i="41"/>
  <c r="E16" i="41"/>
  <c r="D16" i="41"/>
  <c r="F16" i="41" s="1"/>
  <c r="T15" i="41"/>
  <c r="W15" i="41" s="1"/>
  <c r="M15" i="41"/>
  <c r="P15" i="41" s="1"/>
  <c r="K15" i="41"/>
  <c r="E15" i="41"/>
  <c r="D15" i="41"/>
  <c r="F15" i="41" s="1"/>
  <c r="T14" i="41"/>
  <c r="W14" i="41" s="1"/>
  <c r="M14" i="41"/>
  <c r="P14" i="41" s="1"/>
  <c r="K14" i="41"/>
  <c r="E14" i="41"/>
  <c r="D14" i="41"/>
  <c r="F14" i="41" s="1"/>
  <c r="T13" i="41"/>
  <c r="W13" i="41" s="1"/>
  <c r="M13" i="41"/>
  <c r="P13" i="41" s="1"/>
  <c r="K13" i="41"/>
  <c r="E13" i="41"/>
  <c r="D13" i="41"/>
  <c r="F13" i="41" s="1"/>
  <c r="T12" i="41"/>
  <c r="W12" i="41" s="1"/>
  <c r="M12" i="41"/>
  <c r="P12" i="41" s="1"/>
  <c r="K12" i="41"/>
  <c r="E12" i="41"/>
  <c r="D12" i="41"/>
  <c r="F12" i="41" s="1"/>
  <c r="T11" i="41"/>
  <c r="W11" i="41" s="1"/>
  <c r="M11" i="41"/>
  <c r="P11" i="41" s="1"/>
  <c r="K11" i="41"/>
  <c r="E11" i="41"/>
  <c r="D11" i="41"/>
  <c r="F11" i="41" s="1"/>
  <c r="W10" i="41"/>
  <c r="P10" i="41"/>
  <c r="T9" i="41"/>
  <c r="W9" i="41" s="1"/>
  <c r="M9" i="41"/>
  <c r="P9" i="41" s="1"/>
  <c r="K9" i="41"/>
  <c r="E9" i="41"/>
  <c r="D9" i="41"/>
  <c r="F9" i="41" s="1"/>
  <c r="T8" i="41"/>
  <c r="W8" i="41" s="1"/>
  <c r="L8" i="41"/>
  <c r="M8" i="41" s="1"/>
  <c r="P8" i="41" s="1"/>
  <c r="K8" i="41"/>
  <c r="E8" i="41"/>
  <c r="D8" i="41"/>
  <c r="F8" i="41" s="1"/>
  <c r="T7" i="41"/>
  <c r="W7" i="41" s="1"/>
  <c r="M7" i="41"/>
  <c r="P7" i="41" s="1"/>
  <c r="K7" i="41"/>
  <c r="E7" i="41"/>
  <c r="D7" i="41"/>
  <c r="F7" i="41" s="1"/>
  <c r="F23" i="41" l="1"/>
  <c r="T23" i="37"/>
  <c r="W23" i="37" s="1"/>
  <c r="O23" i="37"/>
  <c r="E23" i="37" s="1"/>
  <c r="L23" i="37"/>
  <c r="M23" i="37" s="1"/>
  <c r="K23" i="37"/>
  <c r="D23" i="37"/>
  <c r="T22" i="37"/>
  <c r="W22" i="37" s="1"/>
  <c r="M22" i="37"/>
  <c r="P22" i="37" s="1"/>
  <c r="K22" i="37"/>
  <c r="E22" i="37"/>
  <c r="D22" i="37"/>
  <c r="F22" i="37" s="1"/>
  <c r="T21" i="37"/>
  <c r="W21" i="37" s="1"/>
  <c r="M21" i="37"/>
  <c r="P21" i="37" s="1"/>
  <c r="K21" i="37"/>
  <c r="E21" i="37"/>
  <c r="D21" i="37"/>
  <c r="F21" i="37" s="1"/>
  <c r="T20" i="37"/>
  <c r="W20" i="37" s="1"/>
  <c r="M20" i="37"/>
  <c r="P20" i="37" s="1"/>
  <c r="K20" i="37"/>
  <c r="E20" i="37"/>
  <c r="D20" i="37"/>
  <c r="F20" i="37" s="1"/>
  <c r="T19" i="37"/>
  <c r="W19" i="37" s="1"/>
  <c r="M19" i="37"/>
  <c r="P19" i="37" s="1"/>
  <c r="K19" i="37"/>
  <c r="E19" i="37"/>
  <c r="D19" i="37"/>
  <c r="F19" i="37" s="1"/>
  <c r="T18" i="37"/>
  <c r="W18" i="37" s="1"/>
  <c r="M18" i="37"/>
  <c r="P18" i="37" s="1"/>
  <c r="E18" i="37"/>
  <c r="D18" i="37"/>
  <c r="F18" i="37" s="1"/>
  <c r="T17" i="37"/>
  <c r="W17" i="37" s="1"/>
  <c r="M17" i="37"/>
  <c r="P17" i="37" s="1"/>
  <c r="K17" i="37"/>
  <c r="E17" i="37"/>
  <c r="D17" i="37"/>
  <c r="F17" i="37" s="1"/>
  <c r="T16" i="37"/>
  <c r="W16" i="37" s="1"/>
  <c r="M16" i="37"/>
  <c r="P16" i="37" s="1"/>
  <c r="K16" i="37"/>
  <c r="E16" i="37"/>
  <c r="D16" i="37"/>
  <c r="F16" i="37" s="1"/>
  <c r="T15" i="37"/>
  <c r="W15" i="37" s="1"/>
  <c r="M15" i="37"/>
  <c r="P15" i="37" s="1"/>
  <c r="K15" i="37"/>
  <c r="E15" i="37"/>
  <c r="D15" i="37"/>
  <c r="F15" i="37" s="1"/>
  <c r="T14" i="37"/>
  <c r="W14" i="37" s="1"/>
  <c r="M14" i="37"/>
  <c r="P14" i="37" s="1"/>
  <c r="K14" i="37"/>
  <c r="E14" i="37"/>
  <c r="D14" i="37"/>
  <c r="F14" i="37" s="1"/>
  <c r="T13" i="37"/>
  <c r="W13" i="37" s="1"/>
  <c r="M13" i="37"/>
  <c r="P13" i="37" s="1"/>
  <c r="K13" i="37"/>
  <c r="E13" i="37"/>
  <c r="D13" i="37"/>
  <c r="F13" i="37" s="1"/>
  <c r="T12" i="37"/>
  <c r="W12" i="37" s="1"/>
  <c r="M12" i="37"/>
  <c r="P12" i="37" s="1"/>
  <c r="K12" i="37"/>
  <c r="E12" i="37"/>
  <c r="D12" i="37"/>
  <c r="F12" i="37" s="1"/>
  <c r="T11" i="37"/>
  <c r="W11" i="37" s="1"/>
  <c r="M11" i="37"/>
  <c r="P11" i="37" s="1"/>
  <c r="K11" i="37"/>
  <c r="E11" i="37"/>
  <c r="D11" i="37"/>
  <c r="F11" i="37" s="1"/>
  <c r="W10" i="37"/>
  <c r="P10" i="37"/>
  <c r="T9" i="37"/>
  <c r="W9" i="37" s="1"/>
  <c r="M9" i="37"/>
  <c r="P9" i="37" s="1"/>
  <c r="K9" i="37"/>
  <c r="E9" i="37"/>
  <c r="D9" i="37"/>
  <c r="F9" i="37" s="1"/>
  <c r="T8" i="37"/>
  <c r="W8" i="37" s="1"/>
  <c r="M8" i="37"/>
  <c r="P8" i="37" s="1"/>
  <c r="K8" i="37"/>
  <c r="E8" i="37"/>
  <c r="D8" i="37"/>
  <c r="F8" i="37" s="1"/>
  <c r="T7" i="37"/>
  <c r="W7" i="37" s="1"/>
  <c r="M7" i="37"/>
  <c r="P7" i="37" s="1"/>
  <c r="K7" i="37"/>
  <c r="E7" i="37"/>
  <c r="D7" i="37"/>
  <c r="F7" i="37" s="1"/>
  <c r="P23" i="37" l="1"/>
  <c r="F23" i="37"/>
  <c r="T23" i="32"/>
  <c r="W23" i="32" s="1"/>
  <c r="M23" i="32"/>
  <c r="P23" i="32" s="1"/>
  <c r="K23" i="32"/>
  <c r="E23" i="32"/>
  <c r="D23" i="32"/>
  <c r="F23" i="32" s="1"/>
  <c r="T22" i="32"/>
  <c r="W22" i="32" s="1"/>
  <c r="M22" i="32"/>
  <c r="P22" i="32" s="1"/>
  <c r="K22" i="32"/>
  <c r="E22" i="32"/>
  <c r="D22" i="32"/>
  <c r="F22" i="32" s="1"/>
  <c r="T21" i="32"/>
  <c r="W21" i="32" s="1"/>
  <c r="M21" i="32"/>
  <c r="P21" i="32" s="1"/>
  <c r="K21" i="32"/>
  <c r="E21" i="32"/>
  <c r="D21" i="32"/>
  <c r="F21" i="32" s="1"/>
  <c r="T20" i="32"/>
  <c r="W20" i="32" s="1"/>
  <c r="M20" i="32"/>
  <c r="P20" i="32" s="1"/>
  <c r="K20" i="32"/>
  <c r="E20" i="32"/>
  <c r="D20" i="32"/>
  <c r="F20" i="32" s="1"/>
  <c r="T19" i="32"/>
  <c r="W19" i="32" s="1"/>
  <c r="M19" i="32"/>
  <c r="P19" i="32" s="1"/>
  <c r="K19" i="32"/>
  <c r="E19" i="32"/>
  <c r="D19" i="32"/>
  <c r="F19" i="32" s="1"/>
  <c r="T18" i="32"/>
  <c r="W18" i="32" s="1"/>
  <c r="M18" i="32"/>
  <c r="P18" i="32" s="1"/>
  <c r="K18" i="32"/>
  <c r="E18" i="32"/>
  <c r="D18" i="32"/>
  <c r="F18" i="32" s="1"/>
  <c r="T17" i="32"/>
  <c r="W17" i="32" s="1"/>
  <c r="M17" i="32"/>
  <c r="P17" i="32" s="1"/>
  <c r="K17" i="32"/>
  <c r="E17" i="32"/>
  <c r="D17" i="32"/>
  <c r="F17" i="32" s="1"/>
  <c r="T16" i="32"/>
  <c r="W16" i="32" s="1"/>
  <c r="M16" i="32"/>
  <c r="P16" i="32" s="1"/>
  <c r="K16" i="32"/>
  <c r="E16" i="32"/>
  <c r="D16" i="32"/>
  <c r="F16" i="32" s="1"/>
  <c r="T15" i="32"/>
  <c r="W15" i="32" s="1"/>
  <c r="M15" i="32"/>
  <c r="P15" i="32" s="1"/>
  <c r="K15" i="32"/>
  <c r="E15" i="32"/>
  <c r="D15" i="32"/>
  <c r="F15" i="32" s="1"/>
  <c r="T14" i="32"/>
  <c r="W14" i="32" s="1"/>
  <c r="M14" i="32"/>
  <c r="P14" i="32" s="1"/>
  <c r="K14" i="32"/>
  <c r="E14" i="32"/>
  <c r="D14" i="32"/>
  <c r="F14" i="32" s="1"/>
  <c r="T13" i="32"/>
  <c r="W13" i="32" s="1"/>
  <c r="M13" i="32"/>
  <c r="P13" i="32" s="1"/>
  <c r="K13" i="32"/>
  <c r="E13" i="32"/>
  <c r="D13" i="32"/>
  <c r="F13" i="32" s="1"/>
  <c r="T12" i="32"/>
  <c r="W12" i="32" s="1"/>
  <c r="M12" i="32"/>
  <c r="P12" i="32" s="1"/>
  <c r="K12" i="32"/>
  <c r="E12" i="32"/>
  <c r="D12" i="32"/>
  <c r="F12" i="32" s="1"/>
  <c r="T11" i="32"/>
  <c r="W11" i="32" s="1"/>
  <c r="M11" i="32"/>
  <c r="P11" i="32" s="1"/>
  <c r="K11" i="32"/>
  <c r="E11" i="32"/>
  <c r="D11" i="32"/>
  <c r="F11" i="32" s="1"/>
  <c r="T10" i="32"/>
  <c r="W10" i="32" s="1"/>
  <c r="M10" i="32"/>
  <c r="P10" i="32" s="1"/>
  <c r="K10" i="32"/>
  <c r="E10" i="32"/>
  <c r="D10" i="32"/>
  <c r="F10" i="32" s="1"/>
  <c r="T9" i="32"/>
  <c r="W9" i="32" s="1"/>
  <c r="M9" i="32"/>
  <c r="P9" i="32" s="1"/>
  <c r="K9" i="32"/>
  <c r="E9" i="32"/>
  <c r="D9" i="32"/>
  <c r="F9" i="32" s="1"/>
  <c r="T8" i="32"/>
  <c r="W8" i="32" s="1"/>
  <c r="M8" i="32"/>
  <c r="P8" i="32" s="1"/>
  <c r="K8" i="32"/>
  <c r="E8" i="32"/>
  <c r="D8" i="32"/>
  <c r="F8" i="32" s="1"/>
  <c r="T7" i="32"/>
  <c r="W7" i="32" s="1"/>
  <c r="M7" i="32"/>
  <c r="P7" i="32" s="1"/>
  <c r="K7" i="32"/>
  <c r="E7" i="32"/>
  <c r="D7" i="32"/>
  <c r="F7" i="32" s="1"/>
  <c r="T23" i="61" l="1"/>
  <c r="W23" i="61" s="1"/>
  <c r="O23" i="61"/>
  <c r="E23" i="61" s="1"/>
  <c r="L23" i="61"/>
  <c r="M23" i="61" s="1"/>
  <c r="K23" i="61"/>
  <c r="D23" i="61"/>
  <c r="T22" i="61"/>
  <c r="W22" i="61" s="1"/>
  <c r="M22" i="61"/>
  <c r="P22" i="61" s="1"/>
  <c r="K22" i="61"/>
  <c r="E22" i="61"/>
  <c r="D22" i="61"/>
  <c r="F22" i="61" s="1"/>
  <c r="T21" i="61"/>
  <c r="W21" i="61" s="1"/>
  <c r="M21" i="61"/>
  <c r="P21" i="61" s="1"/>
  <c r="K21" i="61"/>
  <c r="E21" i="61"/>
  <c r="D21" i="61"/>
  <c r="F21" i="61" s="1"/>
  <c r="T20" i="61"/>
  <c r="W20" i="61" s="1"/>
  <c r="M20" i="61"/>
  <c r="P20" i="61" s="1"/>
  <c r="K20" i="61"/>
  <c r="E20" i="61"/>
  <c r="D20" i="61"/>
  <c r="F20" i="61" s="1"/>
  <c r="T19" i="61"/>
  <c r="W19" i="61" s="1"/>
  <c r="M19" i="61"/>
  <c r="P19" i="61" s="1"/>
  <c r="K19" i="61"/>
  <c r="E19" i="61"/>
  <c r="D19" i="61"/>
  <c r="F19" i="61" s="1"/>
  <c r="T18" i="61"/>
  <c r="W18" i="61" s="1"/>
  <c r="M18" i="61"/>
  <c r="P18" i="61" s="1"/>
  <c r="K18" i="61"/>
  <c r="E18" i="61"/>
  <c r="D18" i="61"/>
  <c r="F18" i="61" s="1"/>
  <c r="T17" i="61"/>
  <c r="W17" i="61" s="1"/>
  <c r="M17" i="61"/>
  <c r="P17" i="61" s="1"/>
  <c r="K17" i="61"/>
  <c r="E17" i="61"/>
  <c r="D17" i="61"/>
  <c r="F17" i="61" s="1"/>
  <c r="T16" i="61"/>
  <c r="W16" i="61" s="1"/>
  <c r="M16" i="61"/>
  <c r="P16" i="61" s="1"/>
  <c r="K16" i="61"/>
  <c r="E16" i="61"/>
  <c r="D16" i="61"/>
  <c r="F16" i="61" s="1"/>
  <c r="T15" i="61"/>
  <c r="W15" i="61" s="1"/>
  <c r="M15" i="61"/>
  <c r="P15" i="61" s="1"/>
  <c r="K15" i="61"/>
  <c r="E15" i="61"/>
  <c r="D15" i="61"/>
  <c r="F15" i="61" s="1"/>
  <c r="T14" i="61"/>
  <c r="W14" i="61" s="1"/>
  <c r="M14" i="61"/>
  <c r="P14" i="61" s="1"/>
  <c r="K14" i="61"/>
  <c r="E14" i="61"/>
  <c r="D14" i="61"/>
  <c r="F14" i="61" s="1"/>
  <c r="T13" i="61"/>
  <c r="W13" i="61" s="1"/>
  <c r="M13" i="61"/>
  <c r="P13" i="61" s="1"/>
  <c r="K13" i="61"/>
  <c r="E13" i="61"/>
  <c r="D13" i="61"/>
  <c r="F13" i="61" s="1"/>
  <c r="T12" i="61"/>
  <c r="W12" i="61" s="1"/>
  <c r="M12" i="61"/>
  <c r="P12" i="61" s="1"/>
  <c r="K12" i="61"/>
  <c r="E12" i="61"/>
  <c r="D12" i="61"/>
  <c r="F12" i="61" s="1"/>
  <c r="T11" i="61"/>
  <c r="W11" i="61" s="1"/>
  <c r="M11" i="61"/>
  <c r="P11" i="61" s="1"/>
  <c r="K11" i="61"/>
  <c r="E11" i="61"/>
  <c r="D11" i="61"/>
  <c r="F11" i="61" s="1"/>
  <c r="W10" i="61"/>
  <c r="P10" i="61"/>
  <c r="T9" i="61"/>
  <c r="W9" i="61" s="1"/>
  <c r="M9" i="61"/>
  <c r="P9" i="61" s="1"/>
  <c r="K9" i="61"/>
  <c r="E9" i="61"/>
  <c r="D9" i="61"/>
  <c r="F9" i="61" s="1"/>
  <c r="T8" i="61"/>
  <c r="W8" i="61" s="1"/>
  <c r="M8" i="61"/>
  <c r="P8" i="61" s="1"/>
  <c r="K8" i="61"/>
  <c r="E8" i="61"/>
  <c r="D8" i="61"/>
  <c r="F8" i="61" s="1"/>
  <c r="T7" i="61"/>
  <c r="W7" i="61" s="1"/>
  <c r="M7" i="61"/>
  <c r="P7" i="61" s="1"/>
  <c r="K7" i="61"/>
  <c r="E7" i="61"/>
  <c r="D7" i="61"/>
  <c r="F7" i="61" s="1"/>
  <c r="P23" i="61" l="1"/>
  <c r="F23" i="61"/>
  <c r="T23" i="24"/>
  <c r="W23" i="24" s="1"/>
  <c r="O23" i="24"/>
  <c r="E23" i="24" s="1"/>
  <c r="L23" i="24"/>
  <c r="M23" i="24" s="1"/>
  <c r="K23" i="24"/>
  <c r="C23" i="24"/>
  <c r="D23" i="24" s="1"/>
  <c r="T22" i="24"/>
  <c r="W22" i="24" s="1"/>
  <c r="M22" i="24"/>
  <c r="P22" i="24" s="1"/>
  <c r="K22" i="24"/>
  <c r="E22" i="24"/>
  <c r="D22" i="24"/>
  <c r="F22" i="24" s="1"/>
  <c r="T21" i="24"/>
  <c r="W21" i="24" s="1"/>
  <c r="M21" i="24"/>
  <c r="P21" i="24" s="1"/>
  <c r="K21" i="24"/>
  <c r="E21" i="24"/>
  <c r="D21" i="24"/>
  <c r="F21" i="24" s="1"/>
  <c r="T20" i="24"/>
  <c r="W20" i="24" s="1"/>
  <c r="M20" i="24"/>
  <c r="P20" i="24" s="1"/>
  <c r="K20" i="24"/>
  <c r="E20" i="24"/>
  <c r="D20" i="24"/>
  <c r="F20" i="24" s="1"/>
  <c r="T19" i="24"/>
  <c r="W19" i="24" s="1"/>
  <c r="M19" i="24"/>
  <c r="P19" i="24" s="1"/>
  <c r="K19" i="24"/>
  <c r="E19" i="24"/>
  <c r="D19" i="24"/>
  <c r="F19" i="24" s="1"/>
  <c r="T18" i="24"/>
  <c r="W18" i="24" s="1"/>
  <c r="M18" i="24"/>
  <c r="P18" i="24" s="1"/>
  <c r="K18" i="24"/>
  <c r="E18" i="24"/>
  <c r="D18" i="24"/>
  <c r="F18" i="24" s="1"/>
  <c r="T17" i="24"/>
  <c r="W17" i="24" s="1"/>
  <c r="M17" i="24"/>
  <c r="P17" i="24" s="1"/>
  <c r="K17" i="24"/>
  <c r="E17" i="24"/>
  <c r="D17" i="24"/>
  <c r="F17" i="24" s="1"/>
  <c r="T16" i="24"/>
  <c r="W16" i="24" s="1"/>
  <c r="M16" i="24"/>
  <c r="P16" i="24" s="1"/>
  <c r="K16" i="24"/>
  <c r="E16" i="24"/>
  <c r="D16" i="24"/>
  <c r="F16" i="24" s="1"/>
  <c r="T15" i="24"/>
  <c r="W15" i="24" s="1"/>
  <c r="M15" i="24"/>
  <c r="P15" i="24" s="1"/>
  <c r="K15" i="24"/>
  <c r="E15" i="24"/>
  <c r="D15" i="24"/>
  <c r="F15" i="24" s="1"/>
  <c r="T14" i="24"/>
  <c r="W14" i="24" s="1"/>
  <c r="M14" i="24"/>
  <c r="P14" i="24" s="1"/>
  <c r="K14" i="24"/>
  <c r="E14" i="24"/>
  <c r="D14" i="24"/>
  <c r="F14" i="24" s="1"/>
  <c r="T13" i="24"/>
  <c r="W13" i="24" s="1"/>
  <c r="M13" i="24"/>
  <c r="P13" i="24" s="1"/>
  <c r="K13" i="24"/>
  <c r="E13" i="24"/>
  <c r="D13" i="24"/>
  <c r="F13" i="24" s="1"/>
  <c r="T12" i="24"/>
  <c r="W12" i="24" s="1"/>
  <c r="M12" i="24"/>
  <c r="P12" i="24" s="1"/>
  <c r="K12" i="24"/>
  <c r="E12" i="24"/>
  <c r="D12" i="24"/>
  <c r="F12" i="24" s="1"/>
  <c r="W11" i="24"/>
  <c r="P11" i="24"/>
  <c r="W10" i="24"/>
  <c r="P10" i="24"/>
  <c r="T9" i="24"/>
  <c r="W9" i="24" s="1"/>
  <c r="M9" i="24"/>
  <c r="P9" i="24" s="1"/>
  <c r="K9" i="24"/>
  <c r="E9" i="24"/>
  <c r="D9" i="24"/>
  <c r="F9" i="24" s="1"/>
  <c r="T8" i="24"/>
  <c r="W8" i="24" s="1"/>
  <c r="M8" i="24"/>
  <c r="P8" i="24" s="1"/>
  <c r="K8" i="24"/>
  <c r="E8" i="24"/>
  <c r="D8" i="24"/>
  <c r="F8" i="24" s="1"/>
  <c r="T7" i="24"/>
  <c r="W7" i="24" s="1"/>
  <c r="M7" i="24"/>
  <c r="P7" i="24" s="1"/>
  <c r="K7" i="24"/>
  <c r="E7" i="24"/>
  <c r="D7" i="24"/>
  <c r="F7" i="24" s="1"/>
  <c r="P23" i="24" l="1"/>
  <c r="F23" i="24"/>
  <c r="T23" i="20"/>
  <c r="W23" i="20" s="1"/>
  <c r="L23" i="20"/>
  <c r="M23" i="20" s="1"/>
  <c r="P23" i="20" s="1"/>
  <c r="K23" i="20"/>
  <c r="E23" i="20"/>
  <c r="C23" i="20"/>
  <c r="D23" i="20" s="1"/>
  <c r="F23" i="20" s="1"/>
  <c r="T22" i="20"/>
  <c r="W22" i="20" s="1"/>
  <c r="O22" i="20"/>
  <c r="E22" i="20" s="1"/>
  <c r="L22" i="20"/>
  <c r="M22" i="20" s="1"/>
  <c r="K22" i="20"/>
  <c r="D22" i="20"/>
  <c r="T21" i="20"/>
  <c r="W21" i="20" s="1"/>
  <c r="M21" i="20"/>
  <c r="P21" i="20" s="1"/>
  <c r="K21" i="20"/>
  <c r="E21" i="20"/>
  <c r="D21" i="20"/>
  <c r="F21" i="20" s="1"/>
  <c r="T20" i="20"/>
  <c r="W20" i="20" s="1"/>
  <c r="M20" i="20"/>
  <c r="P20" i="20" s="1"/>
  <c r="K20" i="20"/>
  <c r="E20" i="20"/>
  <c r="D20" i="20"/>
  <c r="F20" i="20" s="1"/>
  <c r="T19" i="20"/>
  <c r="W19" i="20" s="1"/>
  <c r="M19" i="20"/>
  <c r="P19" i="20" s="1"/>
  <c r="K19" i="20"/>
  <c r="E19" i="20"/>
  <c r="D19" i="20"/>
  <c r="F19" i="20" s="1"/>
  <c r="T18" i="20"/>
  <c r="W18" i="20" s="1"/>
  <c r="M18" i="20"/>
  <c r="P18" i="20" s="1"/>
  <c r="K18" i="20"/>
  <c r="E18" i="20"/>
  <c r="D18" i="20"/>
  <c r="F18" i="20" s="1"/>
  <c r="T17" i="20"/>
  <c r="W17" i="20" s="1"/>
  <c r="M17" i="20"/>
  <c r="P17" i="20" s="1"/>
  <c r="K17" i="20"/>
  <c r="E17" i="20"/>
  <c r="D17" i="20"/>
  <c r="F17" i="20" s="1"/>
  <c r="T16" i="20"/>
  <c r="W16" i="20" s="1"/>
  <c r="M16" i="20"/>
  <c r="P16" i="20" s="1"/>
  <c r="K16" i="20"/>
  <c r="E16" i="20"/>
  <c r="D16" i="20"/>
  <c r="F16" i="20" s="1"/>
  <c r="T15" i="20"/>
  <c r="W15" i="20" s="1"/>
  <c r="M15" i="20"/>
  <c r="P15" i="20" s="1"/>
  <c r="K15" i="20"/>
  <c r="E15" i="20"/>
  <c r="D15" i="20"/>
  <c r="F15" i="20" s="1"/>
  <c r="T14" i="20"/>
  <c r="W14" i="20" s="1"/>
  <c r="M14" i="20"/>
  <c r="P14" i="20" s="1"/>
  <c r="K14" i="20"/>
  <c r="E14" i="20"/>
  <c r="D14" i="20"/>
  <c r="F14" i="20" s="1"/>
  <c r="T13" i="20"/>
  <c r="W13" i="20" s="1"/>
  <c r="M13" i="20"/>
  <c r="P13" i="20" s="1"/>
  <c r="K13" i="20"/>
  <c r="E13" i="20"/>
  <c r="D13" i="20"/>
  <c r="F13" i="20" s="1"/>
  <c r="T12" i="20"/>
  <c r="W12" i="20" s="1"/>
  <c r="M12" i="20"/>
  <c r="P12" i="20" s="1"/>
  <c r="K12" i="20"/>
  <c r="E12" i="20"/>
  <c r="D12" i="20"/>
  <c r="F12" i="20" s="1"/>
  <c r="W11" i="20"/>
  <c r="P11" i="20"/>
  <c r="W10" i="20"/>
  <c r="P10" i="20"/>
  <c r="T9" i="20"/>
  <c r="W9" i="20" s="1"/>
  <c r="M9" i="20"/>
  <c r="P9" i="20" s="1"/>
  <c r="K9" i="20"/>
  <c r="E9" i="20"/>
  <c r="D9" i="20"/>
  <c r="F9" i="20" s="1"/>
  <c r="T8" i="20"/>
  <c r="W8" i="20" s="1"/>
  <c r="M8" i="20"/>
  <c r="P8" i="20" s="1"/>
  <c r="K8" i="20"/>
  <c r="E8" i="20"/>
  <c r="D8" i="20"/>
  <c r="F8" i="20" s="1"/>
  <c r="T7" i="20"/>
  <c r="W7" i="20" s="1"/>
  <c r="M7" i="20"/>
  <c r="P7" i="20" s="1"/>
  <c r="K7" i="20"/>
  <c r="E7" i="20"/>
  <c r="D7" i="20"/>
  <c r="F7" i="20" s="1"/>
  <c r="F22" i="20" l="1"/>
  <c r="P22" i="20"/>
  <c r="T23" i="17"/>
  <c r="W23" i="17" s="1"/>
  <c r="O23" i="17"/>
  <c r="E23" i="17" s="1"/>
  <c r="L23" i="17"/>
  <c r="M23" i="17" s="1"/>
  <c r="K23" i="17"/>
  <c r="D23" i="17"/>
  <c r="T22" i="17"/>
  <c r="W22" i="17" s="1"/>
  <c r="M22" i="17"/>
  <c r="P22" i="17" s="1"/>
  <c r="K22" i="17"/>
  <c r="E22" i="17"/>
  <c r="D22" i="17"/>
  <c r="F22" i="17" s="1"/>
  <c r="M21" i="17"/>
  <c r="P21" i="17" s="1"/>
  <c r="K21" i="17"/>
  <c r="E21" i="17"/>
  <c r="D21" i="17"/>
  <c r="F21" i="17" s="1"/>
  <c r="T20" i="17"/>
  <c r="W20" i="17" s="1"/>
  <c r="M20" i="17"/>
  <c r="P20" i="17" s="1"/>
  <c r="K20" i="17"/>
  <c r="E20" i="17"/>
  <c r="D20" i="17"/>
  <c r="F20" i="17" s="1"/>
  <c r="T19" i="17"/>
  <c r="W19" i="17" s="1"/>
  <c r="M19" i="17"/>
  <c r="P19" i="17" s="1"/>
  <c r="K19" i="17"/>
  <c r="E19" i="17"/>
  <c r="D19" i="17"/>
  <c r="F19" i="17" s="1"/>
  <c r="T18" i="17"/>
  <c r="W18" i="17" s="1"/>
  <c r="M18" i="17"/>
  <c r="P18" i="17" s="1"/>
  <c r="K18" i="17"/>
  <c r="E18" i="17"/>
  <c r="D18" i="17"/>
  <c r="F18" i="17" s="1"/>
  <c r="T17" i="17"/>
  <c r="W17" i="17" s="1"/>
  <c r="M17" i="17"/>
  <c r="P17" i="17" s="1"/>
  <c r="K17" i="17"/>
  <c r="E17" i="17"/>
  <c r="D17" i="17"/>
  <c r="F17" i="17" s="1"/>
  <c r="T16" i="17"/>
  <c r="W16" i="17" s="1"/>
  <c r="M16" i="17"/>
  <c r="P16" i="17" s="1"/>
  <c r="K16" i="17"/>
  <c r="E16" i="17"/>
  <c r="D16" i="17"/>
  <c r="F16" i="17" s="1"/>
  <c r="T15" i="17"/>
  <c r="W15" i="17" s="1"/>
  <c r="M15" i="17"/>
  <c r="P15" i="17" s="1"/>
  <c r="K15" i="17"/>
  <c r="E15" i="17"/>
  <c r="D15" i="17"/>
  <c r="F15" i="17" s="1"/>
  <c r="T14" i="17"/>
  <c r="W14" i="17" s="1"/>
  <c r="M14" i="17"/>
  <c r="P14" i="17" s="1"/>
  <c r="K14" i="17"/>
  <c r="E14" i="17"/>
  <c r="D14" i="17"/>
  <c r="F14" i="17" s="1"/>
  <c r="T13" i="17"/>
  <c r="W13" i="17" s="1"/>
  <c r="M13" i="17"/>
  <c r="P13" i="17" s="1"/>
  <c r="K13" i="17"/>
  <c r="E13" i="17"/>
  <c r="D13" i="17"/>
  <c r="F13" i="17" s="1"/>
  <c r="T12" i="17"/>
  <c r="W12" i="17" s="1"/>
  <c r="M12" i="17"/>
  <c r="P12" i="17" s="1"/>
  <c r="K12" i="17"/>
  <c r="E12" i="17"/>
  <c r="D12" i="17"/>
  <c r="F12" i="17" s="1"/>
  <c r="T11" i="17"/>
  <c r="W11" i="17" s="1"/>
  <c r="M11" i="17"/>
  <c r="P11" i="17" s="1"/>
  <c r="K11" i="17"/>
  <c r="E11" i="17"/>
  <c r="D11" i="17"/>
  <c r="F11" i="17" s="1"/>
  <c r="W10" i="17"/>
  <c r="P10" i="17"/>
  <c r="T9" i="17"/>
  <c r="W9" i="17" s="1"/>
  <c r="M9" i="17"/>
  <c r="P9" i="17" s="1"/>
  <c r="K9" i="17"/>
  <c r="E9" i="17"/>
  <c r="D9" i="17"/>
  <c r="F9" i="17" s="1"/>
  <c r="T8" i="17"/>
  <c r="W8" i="17" s="1"/>
  <c r="M8" i="17"/>
  <c r="P8" i="17" s="1"/>
  <c r="K8" i="17"/>
  <c r="E8" i="17"/>
  <c r="D8" i="17"/>
  <c r="F8" i="17" s="1"/>
  <c r="T7" i="17"/>
  <c r="W7" i="17" s="1"/>
  <c r="M7" i="17"/>
  <c r="K7" i="17"/>
  <c r="E7" i="17"/>
  <c r="D7" i="17"/>
  <c r="F7" i="17" s="1"/>
  <c r="P7" i="17" l="1"/>
  <c r="P23" i="17"/>
  <c r="F23" i="17"/>
  <c r="T23" i="15"/>
  <c r="W23" i="15" s="1"/>
  <c r="O23" i="15"/>
  <c r="E23" i="15" s="1"/>
  <c r="L23" i="15"/>
  <c r="M23" i="15" s="1"/>
  <c r="K23" i="15"/>
  <c r="C23" i="15"/>
  <c r="D23" i="15" s="1"/>
  <c r="T22" i="15"/>
  <c r="W22" i="15" s="1"/>
  <c r="L22" i="15"/>
  <c r="M22" i="15" s="1"/>
  <c r="P22" i="15" s="1"/>
  <c r="K22" i="15"/>
  <c r="E22" i="15"/>
  <c r="C22" i="15"/>
  <c r="D22" i="15" s="1"/>
  <c r="F22" i="15" s="1"/>
  <c r="T21" i="15"/>
  <c r="W21" i="15" s="1"/>
  <c r="M21" i="15"/>
  <c r="P21" i="15" s="1"/>
  <c r="K21" i="15"/>
  <c r="E21" i="15"/>
  <c r="D21" i="15"/>
  <c r="F21" i="15" s="1"/>
  <c r="T20" i="15"/>
  <c r="W20" i="15" s="1"/>
  <c r="M20" i="15"/>
  <c r="P20" i="15" s="1"/>
  <c r="K20" i="15"/>
  <c r="E20" i="15"/>
  <c r="D20" i="15"/>
  <c r="F20" i="15" s="1"/>
  <c r="T19" i="15"/>
  <c r="W19" i="15" s="1"/>
  <c r="M19" i="15"/>
  <c r="P19" i="15" s="1"/>
  <c r="K19" i="15"/>
  <c r="E19" i="15"/>
  <c r="D19" i="15"/>
  <c r="F19" i="15" s="1"/>
  <c r="T18" i="15"/>
  <c r="W18" i="15" s="1"/>
  <c r="M18" i="15"/>
  <c r="P18" i="15" s="1"/>
  <c r="K18" i="15"/>
  <c r="E18" i="15"/>
  <c r="D18" i="15"/>
  <c r="F18" i="15" s="1"/>
  <c r="T17" i="15"/>
  <c r="W17" i="15" s="1"/>
  <c r="M17" i="15"/>
  <c r="P17" i="15" s="1"/>
  <c r="K17" i="15"/>
  <c r="E17" i="15"/>
  <c r="D17" i="15"/>
  <c r="F17" i="15" s="1"/>
  <c r="T16" i="15"/>
  <c r="W16" i="15" s="1"/>
  <c r="M16" i="15"/>
  <c r="P16" i="15" s="1"/>
  <c r="K16" i="15"/>
  <c r="E16" i="15"/>
  <c r="D16" i="15"/>
  <c r="F16" i="15" s="1"/>
  <c r="T15" i="15"/>
  <c r="W15" i="15" s="1"/>
  <c r="M15" i="15"/>
  <c r="P15" i="15" s="1"/>
  <c r="K15" i="15"/>
  <c r="E15" i="15"/>
  <c r="D15" i="15"/>
  <c r="F15" i="15" s="1"/>
  <c r="T14" i="15"/>
  <c r="W14" i="15" s="1"/>
  <c r="M14" i="15"/>
  <c r="P14" i="15" s="1"/>
  <c r="K14" i="15"/>
  <c r="E14" i="15"/>
  <c r="D14" i="15"/>
  <c r="F14" i="15" s="1"/>
  <c r="T13" i="15"/>
  <c r="W13" i="15" s="1"/>
  <c r="M13" i="15"/>
  <c r="P13" i="15" s="1"/>
  <c r="K13" i="15"/>
  <c r="E13" i="15"/>
  <c r="D13" i="15"/>
  <c r="F13" i="15" s="1"/>
  <c r="T12" i="15"/>
  <c r="W12" i="15" s="1"/>
  <c r="M12" i="15"/>
  <c r="P12" i="15" s="1"/>
  <c r="K12" i="15"/>
  <c r="E12" i="15"/>
  <c r="D12" i="15"/>
  <c r="F12" i="15" s="1"/>
  <c r="T11" i="15"/>
  <c r="W11" i="15" s="1"/>
  <c r="M11" i="15"/>
  <c r="P11" i="15" s="1"/>
  <c r="K11" i="15"/>
  <c r="E11" i="15"/>
  <c r="D11" i="15"/>
  <c r="F11" i="15" s="1"/>
  <c r="W10" i="15"/>
  <c r="P10" i="15"/>
  <c r="T9" i="15"/>
  <c r="W9" i="15" s="1"/>
  <c r="M9" i="15"/>
  <c r="P9" i="15" s="1"/>
  <c r="K9" i="15"/>
  <c r="E9" i="15"/>
  <c r="D9" i="15"/>
  <c r="F9" i="15" s="1"/>
  <c r="T8" i="15"/>
  <c r="W8" i="15" s="1"/>
  <c r="M8" i="15"/>
  <c r="P8" i="15" s="1"/>
  <c r="K8" i="15"/>
  <c r="E8" i="15"/>
  <c r="D8" i="15"/>
  <c r="F8" i="15" s="1"/>
  <c r="T7" i="15"/>
  <c r="W7" i="15" s="1"/>
  <c r="M7" i="15"/>
  <c r="P7" i="15" s="1"/>
  <c r="K7" i="15"/>
  <c r="E7" i="15"/>
  <c r="D7" i="15"/>
  <c r="F7" i="15" s="1"/>
  <c r="P23" i="15" l="1"/>
  <c r="F23" i="15"/>
  <c r="T19" i="14" l="1"/>
  <c r="W19" i="14" s="1"/>
  <c r="M19" i="14"/>
  <c r="P19" i="14" s="1"/>
  <c r="K19" i="14"/>
  <c r="E19" i="14"/>
  <c r="D19" i="14"/>
  <c r="F19" i="14" s="1"/>
  <c r="T18" i="14"/>
  <c r="W18" i="14" s="1"/>
  <c r="M18" i="14"/>
  <c r="P18" i="14" s="1"/>
  <c r="K18" i="14"/>
  <c r="E18" i="14"/>
  <c r="D18" i="14"/>
  <c r="F18" i="14" s="1"/>
  <c r="T17" i="14"/>
  <c r="W17" i="14" s="1"/>
  <c r="M17" i="14"/>
  <c r="P17" i="14" s="1"/>
  <c r="K17" i="14"/>
  <c r="E17" i="14"/>
  <c r="D17" i="14"/>
  <c r="F17" i="14" s="1"/>
  <c r="T16" i="14"/>
  <c r="W16" i="14" s="1"/>
  <c r="M16" i="14"/>
  <c r="P16" i="14" s="1"/>
  <c r="K16" i="14"/>
  <c r="E16" i="14"/>
  <c r="D16" i="14"/>
  <c r="F16" i="14" s="1"/>
  <c r="T15" i="14"/>
  <c r="W15" i="14" s="1"/>
  <c r="M15" i="14"/>
  <c r="P15" i="14" s="1"/>
  <c r="K15" i="14"/>
  <c r="E15" i="14"/>
  <c r="D15" i="14"/>
  <c r="F15" i="14" s="1"/>
  <c r="T14" i="14"/>
  <c r="W14" i="14" s="1"/>
  <c r="M14" i="14"/>
  <c r="P14" i="14" s="1"/>
  <c r="K14" i="14"/>
  <c r="E14" i="14"/>
  <c r="D14" i="14"/>
  <c r="F14" i="14" s="1"/>
  <c r="T13" i="14"/>
  <c r="W13" i="14" s="1"/>
  <c r="M13" i="14"/>
  <c r="P13" i="14" s="1"/>
  <c r="K13" i="14"/>
  <c r="E13" i="14"/>
  <c r="D13" i="14"/>
  <c r="F13" i="14" s="1"/>
  <c r="T12" i="14"/>
  <c r="W12" i="14" s="1"/>
  <c r="M12" i="14"/>
  <c r="P12" i="14" s="1"/>
  <c r="K12" i="14"/>
  <c r="E12" i="14"/>
  <c r="D12" i="14"/>
  <c r="F12" i="14" s="1"/>
  <c r="T11" i="14"/>
  <c r="W11" i="14" s="1"/>
  <c r="M11" i="14"/>
  <c r="P11" i="14" s="1"/>
  <c r="K11" i="14"/>
  <c r="E11" i="14"/>
  <c r="D11" i="14"/>
  <c r="F11" i="14" s="1"/>
  <c r="W10" i="14"/>
  <c r="P10" i="14"/>
  <c r="T9" i="14"/>
  <c r="W9" i="14" s="1"/>
  <c r="M9" i="14"/>
  <c r="P9" i="14" s="1"/>
  <c r="K9" i="14"/>
  <c r="E9" i="14"/>
  <c r="D9" i="14"/>
  <c r="F9" i="14" s="1"/>
  <c r="T8" i="14"/>
  <c r="W8" i="14" s="1"/>
  <c r="L8" i="14"/>
  <c r="M8" i="14" s="1"/>
  <c r="K8" i="14"/>
  <c r="D8" i="14"/>
  <c r="T7" i="14"/>
  <c r="W7" i="14" s="1"/>
  <c r="M7" i="14"/>
  <c r="P7" i="14" s="1"/>
  <c r="K7" i="14"/>
  <c r="E7" i="14"/>
  <c r="D7" i="14"/>
  <c r="F7" i="14" s="1"/>
  <c r="O8" i="14" l="1"/>
  <c r="T23" i="13"/>
  <c r="W23" i="13" s="1"/>
  <c r="O23" i="13"/>
  <c r="E23" i="13" s="1"/>
  <c r="L23" i="13"/>
  <c r="M23" i="13" s="1"/>
  <c r="P23" i="13" s="1"/>
  <c r="K23" i="13"/>
  <c r="D23" i="13"/>
  <c r="T22" i="13"/>
  <c r="W22" i="13" s="1"/>
  <c r="M22" i="13"/>
  <c r="P22" i="13" s="1"/>
  <c r="K22" i="13"/>
  <c r="E22" i="13"/>
  <c r="D22" i="13"/>
  <c r="F22" i="13" s="1"/>
  <c r="T21" i="13"/>
  <c r="W21" i="13" s="1"/>
  <c r="M21" i="13"/>
  <c r="P21" i="13" s="1"/>
  <c r="K21" i="13"/>
  <c r="E21" i="13"/>
  <c r="D21" i="13"/>
  <c r="F21" i="13" s="1"/>
  <c r="T20" i="13"/>
  <c r="W20" i="13" s="1"/>
  <c r="M20" i="13"/>
  <c r="P20" i="13" s="1"/>
  <c r="K20" i="13"/>
  <c r="E20" i="13"/>
  <c r="D20" i="13"/>
  <c r="F20" i="13" s="1"/>
  <c r="T19" i="13"/>
  <c r="W19" i="13" s="1"/>
  <c r="M19" i="13"/>
  <c r="P19" i="13" s="1"/>
  <c r="K19" i="13"/>
  <c r="E19" i="13"/>
  <c r="D19" i="13"/>
  <c r="F19" i="13" s="1"/>
  <c r="T18" i="13"/>
  <c r="W18" i="13" s="1"/>
  <c r="M18" i="13"/>
  <c r="P18" i="13" s="1"/>
  <c r="K18" i="13"/>
  <c r="E18" i="13"/>
  <c r="D18" i="13"/>
  <c r="F18" i="13" s="1"/>
  <c r="T17" i="13"/>
  <c r="W17" i="13" s="1"/>
  <c r="M17" i="13"/>
  <c r="P17" i="13" s="1"/>
  <c r="K17" i="13"/>
  <c r="E17" i="13"/>
  <c r="D17" i="13"/>
  <c r="F17" i="13" s="1"/>
  <c r="T16" i="13"/>
  <c r="W16" i="13" s="1"/>
  <c r="M16" i="13"/>
  <c r="P16" i="13" s="1"/>
  <c r="K16" i="13"/>
  <c r="E16" i="13"/>
  <c r="D16" i="13"/>
  <c r="F16" i="13" s="1"/>
  <c r="T15" i="13"/>
  <c r="W15" i="13" s="1"/>
  <c r="M15" i="13"/>
  <c r="P15" i="13" s="1"/>
  <c r="K15" i="13"/>
  <c r="E15" i="13"/>
  <c r="D15" i="13"/>
  <c r="F15" i="13" s="1"/>
  <c r="T14" i="13"/>
  <c r="W14" i="13" s="1"/>
  <c r="M14" i="13"/>
  <c r="P14" i="13" s="1"/>
  <c r="K14" i="13"/>
  <c r="E14" i="13"/>
  <c r="D14" i="13"/>
  <c r="F14" i="13" s="1"/>
  <c r="T13" i="13"/>
  <c r="W13" i="13" s="1"/>
  <c r="M13" i="13"/>
  <c r="P13" i="13" s="1"/>
  <c r="K13" i="13"/>
  <c r="E13" i="13"/>
  <c r="D13" i="13"/>
  <c r="F13" i="13" s="1"/>
  <c r="T12" i="13"/>
  <c r="W12" i="13" s="1"/>
  <c r="M12" i="13"/>
  <c r="P12" i="13" s="1"/>
  <c r="K12" i="13"/>
  <c r="E12" i="13"/>
  <c r="D12" i="13"/>
  <c r="F12" i="13" s="1"/>
  <c r="T11" i="13"/>
  <c r="W11" i="13" s="1"/>
  <c r="M11" i="13"/>
  <c r="P11" i="13" s="1"/>
  <c r="K11" i="13"/>
  <c r="E11" i="13"/>
  <c r="D11" i="13"/>
  <c r="F11" i="13" s="1"/>
  <c r="W10" i="13"/>
  <c r="P10" i="13"/>
  <c r="T9" i="13"/>
  <c r="W9" i="13" s="1"/>
  <c r="M9" i="13"/>
  <c r="P9" i="13" s="1"/>
  <c r="K9" i="13"/>
  <c r="E9" i="13"/>
  <c r="D9" i="13"/>
  <c r="F9" i="13" s="1"/>
  <c r="T8" i="13"/>
  <c r="W8" i="13" s="1"/>
  <c r="M8" i="13"/>
  <c r="P8" i="13" s="1"/>
  <c r="K8" i="13"/>
  <c r="E8" i="13"/>
  <c r="D8" i="13"/>
  <c r="F8" i="13" s="1"/>
  <c r="V7" i="13"/>
  <c r="T7" i="13" s="1"/>
  <c r="W7" i="13" s="1"/>
  <c r="M7" i="13"/>
  <c r="P7" i="13" s="1"/>
  <c r="K7" i="13"/>
  <c r="E7" i="13"/>
  <c r="D7" i="13"/>
  <c r="F7" i="13" s="1"/>
  <c r="F23" i="13" l="1"/>
  <c r="F8" i="14"/>
  <c r="E8" i="14"/>
  <c r="P8" i="14"/>
  <c r="T23" i="11" l="1"/>
  <c r="W23" i="11" s="1"/>
  <c r="O23" i="11"/>
  <c r="E23" i="11" s="1"/>
  <c r="L23" i="11"/>
  <c r="M23" i="11" s="1"/>
  <c r="K23" i="11"/>
  <c r="C23" i="11"/>
  <c r="D23" i="11" s="1"/>
  <c r="T22" i="11"/>
  <c r="W22" i="11" s="1"/>
  <c r="M22" i="11"/>
  <c r="P22" i="11" s="1"/>
  <c r="K22" i="11"/>
  <c r="E22" i="11"/>
  <c r="D22" i="11"/>
  <c r="F22" i="11" s="1"/>
  <c r="T21" i="11"/>
  <c r="W21" i="11" s="1"/>
  <c r="M21" i="11"/>
  <c r="P21" i="11" s="1"/>
  <c r="K21" i="11"/>
  <c r="E21" i="11"/>
  <c r="D21" i="11"/>
  <c r="F21" i="11" s="1"/>
  <c r="T20" i="11"/>
  <c r="W20" i="11" s="1"/>
  <c r="M20" i="11"/>
  <c r="P20" i="11" s="1"/>
  <c r="K20" i="11"/>
  <c r="E20" i="11"/>
  <c r="D20" i="11"/>
  <c r="F20" i="11" s="1"/>
  <c r="T19" i="11"/>
  <c r="W19" i="11" s="1"/>
  <c r="M19" i="11"/>
  <c r="P19" i="11" s="1"/>
  <c r="K19" i="11"/>
  <c r="E19" i="11"/>
  <c r="D19" i="11"/>
  <c r="F19" i="11" s="1"/>
  <c r="T18" i="11"/>
  <c r="W18" i="11" s="1"/>
  <c r="M18" i="11"/>
  <c r="P18" i="11" s="1"/>
  <c r="K18" i="11"/>
  <c r="E18" i="11"/>
  <c r="D18" i="11"/>
  <c r="F18" i="11" s="1"/>
  <c r="T17" i="11"/>
  <c r="W17" i="11" s="1"/>
  <c r="M17" i="11"/>
  <c r="P17" i="11" s="1"/>
  <c r="K17" i="11"/>
  <c r="E17" i="11"/>
  <c r="D17" i="11"/>
  <c r="F17" i="11" s="1"/>
  <c r="T16" i="11"/>
  <c r="W16" i="11" s="1"/>
  <c r="M16" i="11"/>
  <c r="P16" i="11" s="1"/>
  <c r="K16" i="11"/>
  <c r="E16" i="11"/>
  <c r="D16" i="11"/>
  <c r="F16" i="11" s="1"/>
  <c r="T15" i="11"/>
  <c r="W15" i="11" s="1"/>
  <c r="M15" i="11"/>
  <c r="P15" i="11" s="1"/>
  <c r="K15" i="11"/>
  <c r="E15" i="11"/>
  <c r="D15" i="11"/>
  <c r="F15" i="11" s="1"/>
  <c r="T14" i="11"/>
  <c r="W14" i="11" s="1"/>
  <c r="M14" i="11"/>
  <c r="P14" i="11" s="1"/>
  <c r="K14" i="11"/>
  <c r="E14" i="11"/>
  <c r="D14" i="11"/>
  <c r="F14" i="11" s="1"/>
  <c r="T13" i="11"/>
  <c r="W13" i="11" s="1"/>
  <c r="M13" i="11"/>
  <c r="P13" i="11" s="1"/>
  <c r="K13" i="11"/>
  <c r="E13" i="11"/>
  <c r="D13" i="11"/>
  <c r="F13" i="11" s="1"/>
  <c r="T12" i="11"/>
  <c r="W12" i="11" s="1"/>
  <c r="M12" i="11"/>
  <c r="P12" i="11" s="1"/>
  <c r="K12" i="11"/>
  <c r="E12" i="11"/>
  <c r="D12" i="11"/>
  <c r="F12" i="11" s="1"/>
  <c r="T11" i="11"/>
  <c r="W11" i="11" s="1"/>
  <c r="M11" i="11"/>
  <c r="P11" i="11" s="1"/>
  <c r="K11" i="11"/>
  <c r="E11" i="11"/>
  <c r="D11" i="11"/>
  <c r="F11" i="11" s="1"/>
  <c r="W10" i="11"/>
  <c r="P10" i="11"/>
  <c r="T9" i="11"/>
  <c r="W9" i="11" s="1"/>
  <c r="M9" i="11"/>
  <c r="P9" i="11" s="1"/>
  <c r="K9" i="11"/>
  <c r="E9" i="11"/>
  <c r="D9" i="11"/>
  <c r="F9" i="11" s="1"/>
  <c r="T8" i="11"/>
  <c r="W8" i="11" s="1"/>
  <c r="M8" i="11"/>
  <c r="P8" i="11" s="1"/>
  <c r="K8" i="11"/>
  <c r="E8" i="11"/>
  <c r="D8" i="11"/>
  <c r="F8" i="11" s="1"/>
  <c r="T7" i="11"/>
  <c r="W7" i="11" s="1"/>
  <c r="M7" i="11"/>
  <c r="P7" i="11" s="1"/>
  <c r="K7" i="11"/>
  <c r="B6" i="68" s="1"/>
  <c r="E7" i="11"/>
  <c r="D7" i="11"/>
  <c r="F7" i="11" s="1"/>
  <c r="P23" i="11" l="1"/>
  <c r="F23" i="11"/>
  <c r="K11" i="2" l="1"/>
  <c r="K10" i="2"/>
  <c r="T23" i="2"/>
  <c r="W23" i="2" s="1"/>
  <c r="T22" i="2"/>
  <c r="W22" i="2" s="1"/>
  <c r="T21" i="2"/>
  <c r="W21" i="2" s="1"/>
  <c r="T20" i="2"/>
  <c r="W20" i="2" s="1"/>
  <c r="T19" i="2"/>
  <c r="W19" i="2" s="1"/>
  <c r="T18" i="2"/>
  <c r="W18" i="2" s="1"/>
  <c r="T17" i="2"/>
  <c r="W17" i="2" s="1"/>
  <c r="T16" i="2"/>
  <c r="W16" i="2" s="1"/>
  <c r="T15" i="2"/>
  <c r="W15" i="2" s="1"/>
  <c r="T14" i="2"/>
  <c r="W14" i="2" s="1"/>
  <c r="T13" i="2"/>
  <c r="W13" i="2" s="1"/>
  <c r="T12" i="2"/>
  <c r="W12" i="2" s="1"/>
  <c r="V11" i="2"/>
  <c r="W11" i="2" s="1"/>
  <c r="W10" i="2"/>
  <c r="T9" i="2"/>
  <c r="W9" i="2" s="1"/>
  <c r="T8" i="2"/>
  <c r="W8" i="2" s="1"/>
  <c r="L23" i="2"/>
  <c r="M23" i="2" s="1"/>
  <c r="O23" i="2"/>
  <c r="E23" i="2" s="1"/>
  <c r="L22" i="2"/>
  <c r="M22" i="2" s="1"/>
  <c r="P22" i="2" s="1"/>
  <c r="M21" i="2"/>
  <c r="P21" i="2" s="1"/>
  <c r="M20" i="2"/>
  <c r="P20" i="2" s="1"/>
  <c r="M19" i="2"/>
  <c r="P19" i="2" s="1"/>
  <c r="M18" i="2"/>
  <c r="P18" i="2" s="1"/>
  <c r="M17" i="2"/>
  <c r="P17" i="2" s="1"/>
  <c r="M16" i="2"/>
  <c r="P16" i="2" s="1"/>
  <c r="M15" i="2"/>
  <c r="P15" i="2" s="1"/>
  <c r="M14" i="2"/>
  <c r="P14" i="2" s="1"/>
  <c r="M13" i="2"/>
  <c r="P13" i="2" s="1"/>
  <c r="M12" i="2"/>
  <c r="P12" i="2" s="1"/>
  <c r="P11" i="2"/>
  <c r="P10" i="2"/>
  <c r="M9" i="2"/>
  <c r="P9" i="2" s="1"/>
  <c r="K23" i="2"/>
  <c r="D23" i="2"/>
  <c r="K22" i="2"/>
  <c r="E22" i="2"/>
  <c r="D22" i="2"/>
  <c r="F22" i="2" s="1"/>
  <c r="K21" i="2"/>
  <c r="E21" i="2"/>
  <c r="D21" i="2"/>
  <c r="F21" i="2" s="1"/>
  <c r="K20" i="2"/>
  <c r="E20" i="2"/>
  <c r="D20" i="2"/>
  <c r="F20" i="2" s="1"/>
  <c r="K19" i="2"/>
  <c r="E19" i="2"/>
  <c r="D19" i="2"/>
  <c r="F19" i="2" s="1"/>
  <c r="K18" i="2"/>
  <c r="E18" i="2"/>
  <c r="D18" i="2"/>
  <c r="F18" i="2" s="1"/>
  <c r="K17" i="2"/>
  <c r="E17" i="2"/>
  <c r="D17" i="2"/>
  <c r="F17" i="2" s="1"/>
  <c r="K16" i="2"/>
  <c r="E16" i="2"/>
  <c r="D16" i="2"/>
  <c r="F16" i="2" s="1"/>
  <c r="K15" i="2"/>
  <c r="E15" i="2"/>
  <c r="D15" i="2"/>
  <c r="F15" i="2" s="1"/>
  <c r="K14" i="2"/>
  <c r="E14" i="2"/>
  <c r="D14" i="2"/>
  <c r="F14" i="2" s="1"/>
  <c r="K13" i="2"/>
  <c r="E13" i="2"/>
  <c r="D13" i="2"/>
  <c r="F13" i="2" s="1"/>
  <c r="K12" i="2"/>
  <c r="E12" i="2"/>
  <c r="D12" i="2"/>
  <c r="F12" i="2" s="1"/>
  <c r="S11" i="2"/>
  <c r="S10" i="2"/>
  <c r="K9" i="2"/>
  <c r="E9" i="2"/>
  <c r="D9" i="2"/>
  <c r="F9" i="2" s="1"/>
  <c r="M8" i="2"/>
  <c r="P8" i="2" s="1"/>
  <c r="K8" i="2"/>
  <c r="E8" i="2"/>
  <c r="D8" i="2"/>
  <c r="F8" i="2" s="1"/>
  <c r="F23" i="2" l="1"/>
  <c r="P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kobrien</author>
    <author>Karen O'Brien</author>
  </authors>
  <commentList>
    <comment ref="B14" authorId="0" shapeId="0" xr:uid="{00000000-0006-0000-0100-000001000000}">
      <text>
        <r>
          <rPr>
            <b/>
            <sz val="8"/>
            <color indexed="81"/>
            <rFont val="Tahoma"/>
            <family val="2"/>
          </rPr>
          <t>ALISE output cell B4</t>
        </r>
        <r>
          <rPr>
            <sz val="8"/>
            <color indexed="81"/>
            <rFont val="Tahoma"/>
            <family val="2"/>
          </rPr>
          <t xml:space="preserve">
</t>
        </r>
      </text>
    </comment>
    <comment ref="B21" authorId="1" shapeId="0" xr:uid="{00000000-0006-0000-0100-000002000000}">
      <text>
        <r>
          <rPr>
            <b/>
            <sz val="8"/>
            <color indexed="81"/>
            <rFont val="Tahoma"/>
            <family val="2"/>
          </rPr>
          <t>From ALISE:
Part I, Item 2, Fall</t>
        </r>
        <r>
          <rPr>
            <sz val="8"/>
            <color indexed="81"/>
            <rFont val="Tahoma"/>
            <family val="2"/>
          </rPr>
          <t xml:space="preserve">
</t>
        </r>
      </text>
    </comment>
    <comment ref="B22" authorId="1" shapeId="0" xr:uid="{00000000-0006-0000-0100-000003000000}">
      <text>
        <r>
          <rPr>
            <b/>
            <sz val="8"/>
            <color indexed="81"/>
            <rFont val="Tahoma"/>
            <family val="2"/>
          </rPr>
          <t>From ALISE:
Part I, Item 2, Fall</t>
        </r>
        <r>
          <rPr>
            <sz val="8"/>
            <color indexed="81"/>
            <rFont val="Tahoma"/>
            <family val="2"/>
          </rPr>
          <t xml:space="preserve">
</t>
        </r>
      </text>
    </comment>
    <comment ref="B23" authorId="1" shapeId="0" xr:uid="{00000000-0006-0000-0100-000004000000}">
      <text>
        <r>
          <rPr>
            <b/>
            <sz val="8"/>
            <color indexed="81"/>
            <rFont val="Tahoma"/>
            <family val="2"/>
          </rPr>
          <t>From ALISE:
Part I, Item 2, Fall</t>
        </r>
        <r>
          <rPr>
            <sz val="8"/>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Karen O'Brien</author>
  </authors>
  <commentList>
    <comment ref="V2" authorId="0" shapeId="0" xr:uid="{00000000-0006-0000-0D00-000001000000}">
      <text>
        <r>
          <rPr>
            <b/>
            <sz val="9"/>
            <color indexed="81"/>
            <rFont val="Tahoma"/>
            <family val="2"/>
          </rPr>
          <t>User:</t>
        </r>
        <r>
          <rPr>
            <sz val="9"/>
            <color indexed="81"/>
            <rFont val="Tahoma"/>
            <family val="2"/>
          </rPr>
          <t xml:space="preserve">
04.6600.6010</t>
        </r>
      </text>
    </comment>
    <comment ref="L10" authorId="1" shapeId="0" xr:uid="{00000000-0006-0000-0D00-000002000000}">
      <text>
        <r>
          <rPr>
            <b/>
            <sz val="8"/>
            <color rgb="FF000000"/>
            <rFont val="Tahoma"/>
            <family val="2"/>
          </rPr>
          <t xml:space="preserve">From ALISE:
</t>
        </r>
        <r>
          <rPr>
            <b/>
            <sz val="8"/>
            <color rgb="FF000000"/>
            <rFont val="Tahoma"/>
            <family val="2"/>
          </rPr>
          <t xml:space="preserve">Part II, Table II-1,
</t>
        </r>
        <r>
          <rPr>
            <b/>
            <sz val="8"/>
            <color rgb="FF000000"/>
            <rFont val="Tahoma"/>
            <family val="2"/>
          </rPr>
          <t xml:space="preserve">Total Part-Time FTE, ALA only
</t>
        </r>
        <r>
          <rPr>
            <sz val="8"/>
            <color rgb="FF000000"/>
            <rFont val="Tahoma"/>
            <family val="2"/>
          </rPr>
          <t xml:space="preserve">
</t>
        </r>
      </text>
    </comment>
    <comment ref="B21" authorId="1" shapeId="0" xr:uid="{00000000-0006-0000-0D00-000003000000}">
      <text>
        <r>
          <rPr>
            <b/>
            <sz val="8"/>
            <color indexed="81"/>
            <rFont val="Tahoma"/>
            <family val="2"/>
          </rPr>
          <t>From ALISE:
Part I, Item 2, Fall</t>
        </r>
        <r>
          <rPr>
            <sz val="8"/>
            <color indexed="81"/>
            <rFont val="Tahoma"/>
            <family val="2"/>
          </rPr>
          <t xml:space="preserve">
</t>
        </r>
      </text>
    </comment>
    <comment ref="C21" authorId="1" shapeId="0" xr:uid="{00000000-0006-0000-0D00-000004000000}">
      <text>
        <r>
          <rPr>
            <b/>
            <sz val="8"/>
            <color indexed="81"/>
            <rFont val="Tahoma"/>
            <family val="2"/>
          </rPr>
          <t>From ALISE:
Part I, Item 3, Fall</t>
        </r>
        <r>
          <rPr>
            <sz val="8"/>
            <color indexed="81"/>
            <rFont val="Tahoma"/>
            <family val="2"/>
          </rPr>
          <t xml:space="preserve">
</t>
        </r>
      </text>
    </comment>
    <comment ref="I21" authorId="1" shapeId="0" xr:uid="{00000000-0006-0000-0D00-000005000000}">
      <text>
        <r>
          <rPr>
            <b/>
            <sz val="8"/>
            <color indexed="81"/>
            <rFont val="Tahoma"/>
            <family val="2"/>
          </rPr>
          <t>From ALISE:
Part II, Table II-1,
Total  Full-time,
ALA only</t>
        </r>
        <r>
          <rPr>
            <sz val="8"/>
            <color indexed="81"/>
            <rFont val="Tahoma"/>
            <family val="2"/>
          </rPr>
          <t xml:space="preserve">
</t>
        </r>
      </text>
    </comment>
    <comment ref="J21" authorId="1" shapeId="0" xr:uid="{00000000-0006-0000-0D00-000006000000}">
      <text>
        <r>
          <rPr>
            <b/>
            <sz val="8"/>
            <color indexed="81"/>
            <rFont val="Tahoma"/>
            <family val="2"/>
          </rPr>
          <t>From ALISE:
Part II, Table II-1,
Total No. Part-time,
ALA only</t>
        </r>
        <r>
          <rPr>
            <sz val="8"/>
            <color indexed="81"/>
            <rFont val="Tahoma"/>
            <family val="2"/>
          </rPr>
          <t xml:space="preserve">
</t>
        </r>
      </text>
    </comment>
    <comment ref="L21" authorId="1" shapeId="0" xr:uid="{00000000-0006-0000-0D00-000007000000}">
      <text>
        <r>
          <rPr>
            <b/>
            <sz val="8"/>
            <color indexed="81"/>
            <rFont val="Tahoma"/>
            <family val="2"/>
          </rPr>
          <t xml:space="preserve">From ALISE:
Part II, Table II-1,
Total Part-Time FTE, ALA only
</t>
        </r>
        <r>
          <rPr>
            <sz val="8"/>
            <color indexed="81"/>
            <rFont val="Tahoma"/>
            <family val="2"/>
          </rPr>
          <t xml:space="preserve">
</t>
        </r>
      </text>
    </comment>
    <comment ref="N21" authorId="1" shapeId="0" xr:uid="{00000000-0006-0000-0D00-000008000000}">
      <text>
        <r>
          <rPr>
            <b/>
            <sz val="8"/>
            <color indexed="81"/>
            <rFont val="Tahoma"/>
            <family val="2"/>
          </rPr>
          <t xml:space="preserve">From ALISE:
Part II, Table 11-4, Total AI, AP, B, and H,
ALA only  </t>
        </r>
        <r>
          <rPr>
            <sz val="8"/>
            <color indexed="81"/>
            <rFont val="Tahoma"/>
            <family val="2"/>
          </rPr>
          <t xml:space="preserve">
</t>
        </r>
      </text>
    </comment>
    <comment ref="O21" authorId="1" shapeId="0" xr:uid="{00000000-0006-0000-0D00-000009000000}">
      <text>
        <r>
          <rPr>
            <b/>
            <sz val="8"/>
            <color indexed="81"/>
            <rFont val="Tahoma"/>
            <family val="2"/>
          </rPr>
          <t>From ALISE:
Part II, Table II-1, Total FTE, all programs</t>
        </r>
        <r>
          <rPr>
            <sz val="8"/>
            <color indexed="81"/>
            <rFont val="Tahoma"/>
            <family val="2"/>
          </rPr>
          <t xml:space="preserve">
</t>
        </r>
      </text>
    </comment>
    <comment ref="Q21" authorId="1" shapeId="0" xr:uid="{00000000-0006-0000-0D00-00000A000000}">
      <text>
        <r>
          <rPr>
            <b/>
            <sz val="8"/>
            <color indexed="81"/>
            <rFont val="Tahoma"/>
            <family val="2"/>
          </rPr>
          <t>From ALISE:
Part II, Table II-3, Total, ALA only</t>
        </r>
        <r>
          <rPr>
            <sz val="8"/>
            <color indexed="81"/>
            <rFont val="Tahoma"/>
            <family val="2"/>
          </rPr>
          <t xml:space="preserve">
</t>
        </r>
      </text>
    </comment>
    <comment ref="R21" authorId="1" shapeId="0" xr:uid="{00000000-0006-0000-0D00-00000B000000}">
      <text>
        <r>
          <rPr>
            <b/>
            <sz val="8"/>
            <color indexed="81"/>
            <rFont val="Tahoma"/>
            <family val="2"/>
          </rPr>
          <t>From ALISE:
Part II, Table II-3, Total all other programs</t>
        </r>
        <r>
          <rPr>
            <sz val="8"/>
            <color indexed="81"/>
            <rFont val="Tahoma"/>
            <family val="2"/>
          </rPr>
          <t xml:space="preserve">
</t>
        </r>
      </text>
    </comment>
    <comment ref="S21" authorId="1" shapeId="0" xr:uid="{00000000-0006-0000-0D00-00000C000000}">
      <text>
        <r>
          <rPr>
            <b/>
            <sz val="8"/>
            <color indexed="81"/>
            <rFont val="Tahoma"/>
            <family val="2"/>
          </rPr>
          <t>From ALISE:
Part IV, Line 59</t>
        </r>
        <r>
          <rPr>
            <sz val="8"/>
            <color indexed="81"/>
            <rFont val="Tahoma"/>
            <family val="2"/>
          </rPr>
          <t xml:space="preserve">
</t>
        </r>
      </text>
    </comment>
    <comment ref="U21" authorId="1" shapeId="0" xr:uid="{00000000-0006-0000-0D00-00000D000000}">
      <text>
        <r>
          <rPr>
            <b/>
            <sz val="8"/>
            <color indexed="81"/>
            <rFont val="Tahoma"/>
            <family val="2"/>
          </rPr>
          <t>From ALISE:
Part IV, Line 60</t>
        </r>
        <r>
          <rPr>
            <sz val="8"/>
            <color indexed="81"/>
            <rFont val="Tahoma"/>
            <family val="2"/>
          </rPr>
          <t xml:space="preserve">
</t>
        </r>
      </text>
    </comment>
    <comment ref="V21" authorId="1" shapeId="0" xr:uid="{00000000-0006-0000-0D00-00000E000000}">
      <text>
        <r>
          <rPr>
            <b/>
            <sz val="8"/>
            <color indexed="81"/>
            <rFont val="Tahoma"/>
            <family val="2"/>
          </rPr>
          <t>From ALISE:
Part IV, Total lines 61, 62, 63, 64, and 68</t>
        </r>
        <r>
          <rPr>
            <sz val="8"/>
            <color indexed="81"/>
            <rFont val="Tahoma"/>
            <family val="2"/>
          </rPr>
          <t xml:space="preserve">
</t>
        </r>
      </text>
    </comment>
    <comment ref="B23" authorId="1" shapeId="0" xr:uid="{00000000-0006-0000-0D00-00000F000000}">
      <text>
        <r>
          <rPr>
            <b/>
            <sz val="8"/>
            <color indexed="81"/>
            <rFont val="Tahoma"/>
            <family val="2"/>
          </rPr>
          <t>From ALISE:
Part I, Item 2, Fall</t>
        </r>
        <r>
          <rPr>
            <sz val="8"/>
            <color indexed="81"/>
            <rFont val="Tahoma"/>
            <family val="2"/>
          </rPr>
          <t xml:space="preserve">
</t>
        </r>
      </text>
    </comment>
    <comment ref="C23" authorId="1" shapeId="0" xr:uid="{00000000-0006-0000-0D00-000010000000}">
      <text>
        <r>
          <rPr>
            <b/>
            <sz val="8"/>
            <color indexed="81"/>
            <rFont val="Tahoma"/>
            <family val="2"/>
          </rPr>
          <t>From ALISE:
Part I, Item 3, Fall</t>
        </r>
        <r>
          <rPr>
            <sz val="8"/>
            <color indexed="81"/>
            <rFont val="Tahoma"/>
            <family val="2"/>
          </rPr>
          <t xml:space="preserve">
</t>
        </r>
      </text>
    </comment>
    <comment ref="I23" authorId="1" shapeId="0" xr:uid="{00000000-0006-0000-0D00-000011000000}">
      <text>
        <r>
          <rPr>
            <b/>
            <sz val="8"/>
            <color indexed="81"/>
            <rFont val="Tahoma"/>
            <family val="2"/>
          </rPr>
          <t>From ALISE:
Part II, Table II-1,
Total  Full-time,
ALA only</t>
        </r>
        <r>
          <rPr>
            <sz val="8"/>
            <color indexed="81"/>
            <rFont val="Tahoma"/>
            <family val="2"/>
          </rPr>
          <t xml:space="preserve">
</t>
        </r>
      </text>
    </comment>
    <comment ref="J23" authorId="1" shapeId="0" xr:uid="{00000000-0006-0000-0D00-000012000000}">
      <text>
        <r>
          <rPr>
            <b/>
            <sz val="8"/>
            <color indexed="81"/>
            <rFont val="Tahoma"/>
            <family val="2"/>
          </rPr>
          <t>From ALISE:
Part II, Table II-1,
Total No. Part-time,
ALA only</t>
        </r>
        <r>
          <rPr>
            <sz val="8"/>
            <color indexed="81"/>
            <rFont val="Tahoma"/>
            <family val="2"/>
          </rPr>
          <t xml:space="preserve">
</t>
        </r>
      </text>
    </comment>
    <comment ref="L23" authorId="1" shapeId="0" xr:uid="{00000000-0006-0000-0D00-000013000000}">
      <text>
        <r>
          <rPr>
            <b/>
            <sz val="8"/>
            <color indexed="81"/>
            <rFont val="Tahoma"/>
            <family val="2"/>
          </rPr>
          <t xml:space="preserve">From ALISE:
Part II, Table II-1,
Total Part-Time FTE, ALA only
</t>
        </r>
        <r>
          <rPr>
            <sz val="8"/>
            <color indexed="81"/>
            <rFont val="Tahoma"/>
            <family val="2"/>
          </rPr>
          <t xml:space="preserve">
</t>
        </r>
      </text>
    </comment>
    <comment ref="N23" authorId="1" shapeId="0" xr:uid="{00000000-0006-0000-0D00-000014000000}">
      <text>
        <r>
          <rPr>
            <b/>
            <sz val="8"/>
            <color indexed="81"/>
            <rFont val="Tahoma"/>
            <family val="2"/>
          </rPr>
          <t xml:space="preserve">From ALISE:
Part II, Table 11-4, Total AI, AP, B, and H,
ALA only  </t>
        </r>
        <r>
          <rPr>
            <sz val="8"/>
            <color indexed="81"/>
            <rFont val="Tahoma"/>
            <family val="2"/>
          </rPr>
          <t xml:space="preserve">
</t>
        </r>
      </text>
    </comment>
    <comment ref="O23" authorId="1" shapeId="0" xr:uid="{00000000-0006-0000-0D00-000015000000}">
      <text>
        <r>
          <rPr>
            <b/>
            <sz val="8"/>
            <color indexed="81"/>
            <rFont val="Tahoma"/>
            <family val="2"/>
          </rPr>
          <t>From ALISE:
Part II, Table II-1, Total FTE, all programs</t>
        </r>
        <r>
          <rPr>
            <sz val="8"/>
            <color indexed="81"/>
            <rFont val="Tahoma"/>
            <family val="2"/>
          </rPr>
          <t xml:space="preserve">
</t>
        </r>
      </text>
    </comment>
    <comment ref="Q23" authorId="1" shapeId="0" xr:uid="{00000000-0006-0000-0D00-000016000000}">
      <text>
        <r>
          <rPr>
            <b/>
            <sz val="8"/>
            <color indexed="81"/>
            <rFont val="Tahoma"/>
            <family val="2"/>
          </rPr>
          <t>From ALISE:
Part II, Table II-3, Total, ALA only</t>
        </r>
        <r>
          <rPr>
            <sz val="8"/>
            <color indexed="81"/>
            <rFont val="Tahoma"/>
            <family val="2"/>
          </rPr>
          <t xml:space="preserve">
</t>
        </r>
      </text>
    </comment>
    <comment ref="R23" authorId="1" shapeId="0" xr:uid="{00000000-0006-0000-0D00-000017000000}">
      <text>
        <r>
          <rPr>
            <b/>
            <sz val="8"/>
            <color indexed="81"/>
            <rFont val="Tahoma"/>
            <family val="2"/>
          </rPr>
          <t>From ALISE:
Part II, Table II-3, Total all other programs</t>
        </r>
        <r>
          <rPr>
            <sz val="8"/>
            <color indexed="81"/>
            <rFont val="Tahoma"/>
            <family val="2"/>
          </rPr>
          <t xml:space="preserve">
</t>
        </r>
      </text>
    </comment>
    <comment ref="S23" authorId="1" shapeId="0" xr:uid="{00000000-0006-0000-0D00-000018000000}">
      <text>
        <r>
          <rPr>
            <b/>
            <sz val="8"/>
            <color indexed="81"/>
            <rFont val="Tahoma"/>
            <family val="2"/>
          </rPr>
          <t>From ALISE:
Part IV, Line 59</t>
        </r>
        <r>
          <rPr>
            <sz val="8"/>
            <color indexed="81"/>
            <rFont val="Tahoma"/>
            <family val="2"/>
          </rPr>
          <t xml:space="preserve">
</t>
        </r>
      </text>
    </comment>
    <comment ref="U23" authorId="1" shapeId="0" xr:uid="{00000000-0006-0000-0D00-000019000000}">
      <text>
        <r>
          <rPr>
            <b/>
            <sz val="8"/>
            <color indexed="81"/>
            <rFont val="Tahoma"/>
            <family val="2"/>
          </rPr>
          <t>From ALISE:
Part IV, Line 60</t>
        </r>
        <r>
          <rPr>
            <sz val="8"/>
            <color indexed="81"/>
            <rFont val="Tahoma"/>
            <family val="2"/>
          </rPr>
          <t xml:space="preserve">
</t>
        </r>
      </text>
    </comment>
    <comment ref="V23" authorId="1" shapeId="0" xr:uid="{00000000-0006-0000-0D00-00001A000000}">
      <text>
        <r>
          <rPr>
            <b/>
            <sz val="8"/>
            <color indexed="81"/>
            <rFont val="Tahoma"/>
            <family val="2"/>
          </rPr>
          <t>From ALISE:
Part IV, Total lines 61, 62, 63, 64, and 68</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0E00-000001000000}">
      <text>
        <r>
          <rPr>
            <b/>
            <sz val="8"/>
            <color indexed="81"/>
            <rFont val="Tahoma"/>
            <family val="2"/>
          </rPr>
          <t>From ALISE:
Part I, Item 2, Fall</t>
        </r>
        <r>
          <rPr>
            <sz val="8"/>
            <color indexed="81"/>
            <rFont val="Tahoma"/>
            <family val="2"/>
          </rPr>
          <t xml:space="preserve">
</t>
        </r>
      </text>
    </comment>
    <comment ref="C21" authorId="0" shapeId="0" xr:uid="{00000000-0006-0000-0E00-000002000000}">
      <text>
        <r>
          <rPr>
            <b/>
            <sz val="8"/>
            <color indexed="81"/>
            <rFont val="Tahoma"/>
            <family val="2"/>
          </rPr>
          <t>From ALISE:
Part I, Item 3, Fall</t>
        </r>
        <r>
          <rPr>
            <sz val="8"/>
            <color indexed="81"/>
            <rFont val="Tahoma"/>
            <family val="2"/>
          </rPr>
          <t xml:space="preserve">
</t>
        </r>
      </text>
    </comment>
    <comment ref="I21" authorId="0" shapeId="0" xr:uid="{00000000-0006-0000-0E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0E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0E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0E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0E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0E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0E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0E00-00000A000000}">
      <text>
        <r>
          <rPr>
            <b/>
            <sz val="8"/>
            <color indexed="81"/>
            <rFont val="Tahoma"/>
            <family val="2"/>
          </rPr>
          <t>From ALISE:
Part IV, Line 59</t>
        </r>
        <r>
          <rPr>
            <sz val="8"/>
            <color indexed="81"/>
            <rFont val="Tahoma"/>
            <family val="2"/>
          </rPr>
          <t xml:space="preserve">
</t>
        </r>
      </text>
    </comment>
    <comment ref="U21" authorId="0" shapeId="0" xr:uid="{00000000-0006-0000-0E00-00000B000000}">
      <text>
        <r>
          <rPr>
            <b/>
            <sz val="8"/>
            <color indexed="81"/>
            <rFont val="Tahoma"/>
            <family val="2"/>
          </rPr>
          <t>From ALISE:
Part IV, Line 60</t>
        </r>
        <r>
          <rPr>
            <sz val="8"/>
            <color indexed="81"/>
            <rFont val="Tahoma"/>
            <family val="2"/>
          </rPr>
          <t xml:space="preserve">
</t>
        </r>
      </text>
    </comment>
    <comment ref="V21" authorId="0" shapeId="0" xr:uid="{00000000-0006-0000-0E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0E00-00000D000000}">
      <text>
        <r>
          <rPr>
            <b/>
            <sz val="8"/>
            <color indexed="81"/>
            <rFont val="Tahoma"/>
            <family val="2"/>
          </rPr>
          <t>From ALISE:
Part I, Item 2, Fall</t>
        </r>
        <r>
          <rPr>
            <sz val="8"/>
            <color indexed="81"/>
            <rFont val="Tahoma"/>
            <family val="2"/>
          </rPr>
          <t xml:space="preserve">
</t>
        </r>
      </text>
    </comment>
    <comment ref="C23" authorId="0" shapeId="0" xr:uid="{00000000-0006-0000-0E00-00000E000000}">
      <text>
        <r>
          <rPr>
            <b/>
            <sz val="8"/>
            <color indexed="81"/>
            <rFont val="Tahoma"/>
            <family val="2"/>
          </rPr>
          <t>From ALISE:
Part I, Item 3, Fall</t>
        </r>
        <r>
          <rPr>
            <sz val="8"/>
            <color indexed="81"/>
            <rFont val="Tahoma"/>
            <family val="2"/>
          </rPr>
          <t xml:space="preserve">
</t>
        </r>
      </text>
    </comment>
    <comment ref="I23" authorId="0" shapeId="0" xr:uid="{00000000-0006-0000-0E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0E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0E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0E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0E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0E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0E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0E00-000016000000}">
      <text>
        <r>
          <rPr>
            <b/>
            <sz val="8"/>
            <color indexed="81"/>
            <rFont val="Tahoma"/>
            <family val="2"/>
          </rPr>
          <t>From ALISE:
Part IV, Line 59</t>
        </r>
        <r>
          <rPr>
            <sz val="8"/>
            <color indexed="81"/>
            <rFont val="Tahoma"/>
            <family val="2"/>
          </rPr>
          <t xml:space="preserve">
</t>
        </r>
      </text>
    </comment>
    <comment ref="U23" authorId="0" shapeId="0" xr:uid="{00000000-0006-0000-0E00-000017000000}">
      <text>
        <r>
          <rPr>
            <b/>
            <sz val="8"/>
            <color indexed="81"/>
            <rFont val="Tahoma"/>
            <family val="2"/>
          </rPr>
          <t>From ALISE:
Part IV, Line 60</t>
        </r>
        <r>
          <rPr>
            <sz val="8"/>
            <color indexed="81"/>
            <rFont val="Tahoma"/>
            <family val="2"/>
          </rPr>
          <t xml:space="preserve">
</t>
        </r>
      </text>
    </comment>
    <comment ref="V23" authorId="0" shapeId="0" xr:uid="{00000000-0006-0000-0E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1000-000001000000}">
      <text>
        <r>
          <rPr>
            <b/>
            <sz val="8"/>
            <color indexed="81"/>
            <rFont val="Tahoma"/>
            <family val="2"/>
          </rPr>
          <t>From ALISE:
Part I, Item 2, Fall</t>
        </r>
        <r>
          <rPr>
            <sz val="8"/>
            <color indexed="81"/>
            <rFont val="Tahoma"/>
            <family val="2"/>
          </rPr>
          <t xml:space="preserve">
</t>
        </r>
      </text>
    </comment>
    <comment ref="C21" authorId="0" shapeId="0" xr:uid="{00000000-0006-0000-1000-000002000000}">
      <text>
        <r>
          <rPr>
            <b/>
            <sz val="8"/>
            <color indexed="81"/>
            <rFont val="Tahoma"/>
            <family val="2"/>
          </rPr>
          <t>From ALISE:
Part I, Item 3, Fall</t>
        </r>
        <r>
          <rPr>
            <sz val="8"/>
            <color indexed="81"/>
            <rFont val="Tahoma"/>
            <family val="2"/>
          </rPr>
          <t xml:space="preserve">
</t>
        </r>
      </text>
    </comment>
    <comment ref="I21" authorId="0" shapeId="0" xr:uid="{00000000-0006-0000-10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10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10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10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10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10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10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1000-00000A000000}">
      <text>
        <r>
          <rPr>
            <b/>
            <sz val="8"/>
            <color indexed="81"/>
            <rFont val="Tahoma"/>
            <family val="2"/>
          </rPr>
          <t>From ALISE:
Part IV, Line 59</t>
        </r>
        <r>
          <rPr>
            <sz val="8"/>
            <color indexed="81"/>
            <rFont val="Tahoma"/>
            <family val="2"/>
          </rPr>
          <t xml:space="preserve">
</t>
        </r>
      </text>
    </comment>
    <comment ref="U21" authorId="0" shapeId="0" xr:uid="{00000000-0006-0000-1000-00000B000000}">
      <text>
        <r>
          <rPr>
            <b/>
            <sz val="8"/>
            <color indexed="81"/>
            <rFont val="Tahoma"/>
            <family val="2"/>
          </rPr>
          <t>From ALISE:
Part IV, Line 60</t>
        </r>
        <r>
          <rPr>
            <sz val="8"/>
            <color indexed="81"/>
            <rFont val="Tahoma"/>
            <family val="2"/>
          </rPr>
          <t xml:space="preserve">
</t>
        </r>
      </text>
    </comment>
    <comment ref="V21" authorId="0" shapeId="0" xr:uid="{00000000-0006-0000-1000-00000C000000}">
      <text>
        <r>
          <rPr>
            <b/>
            <sz val="8"/>
            <color indexed="81"/>
            <rFont val="Tahoma"/>
            <family val="2"/>
          </rPr>
          <t>From ALISE:
Part IV, Total lines 61, 62, 63, 64, and 68</t>
        </r>
        <r>
          <rPr>
            <sz val="8"/>
            <color indexed="81"/>
            <rFont val="Tahoma"/>
            <family val="2"/>
          </rPr>
          <t xml:space="preserve">
</t>
        </r>
      </text>
    </comment>
    <comment ref="B22" authorId="0" shapeId="0" xr:uid="{00000000-0006-0000-1000-00000D000000}">
      <text>
        <r>
          <rPr>
            <b/>
            <sz val="8"/>
            <color indexed="81"/>
            <rFont val="Tahoma"/>
            <family val="2"/>
          </rPr>
          <t>From ALISE:
Part I, Item 2, Fall</t>
        </r>
        <r>
          <rPr>
            <sz val="8"/>
            <color indexed="81"/>
            <rFont val="Tahoma"/>
            <family val="2"/>
          </rPr>
          <t xml:space="preserve">
</t>
        </r>
      </text>
    </comment>
    <comment ref="C22" authorId="0" shapeId="0" xr:uid="{00000000-0006-0000-1000-00000E000000}">
      <text>
        <r>
          <rPr>
            <b/>
            <sz val="8"/>
            <color indexed="81"/>
            <rFont val="Tahoma"/>
            <family val="2"/>
          </rPr>
          <t>From ALISE:
Part I, Item 3, Fall</t>
        </r>
        <r>
          <rPr>
            <sz val="8"/>
            <color indexed="81"/>
            <rFont val="Tahoma"/>
            <family val="2"/>
          </rPr>
          <t xml:space="preserve">
</t>
        </r>
      </text>
    </comment>
    <comment ref="I22" authorId="0" shapeId="0" xr:uid="{00000000-0006-0000-1000-00000F000000}">
      <text>
        <r>
          <rPr>
            <b/>
            <sz val="8"/>
            <color indexed="81"/>
            <rFont val="Tahoma"/>
            <family val="2"/>
          </rPr>
          <t>From ALISE:
Part II, Table II-1,
Total  Full-time,
ALA only</t>
        </r>
        <r>
          <rPr>
            <sz val="8"/>
            <color indexed="81"/>
            <rFont val="Tahoma"/>
            <family val="2"/>
          </rPr>
          <t xml:space="preserve">
</t>
        </r>
      </text>
    </comment>
    <comment ref="J22" authorId="0" shapeId="0" xr:uid="{00000000-0006-0000-1000-000010000000}">
      <text>
        <r>
          <rPr>
            <b/>
            <sz val="8"/>
            <color indexed="81"/>
            <rFont val="Tahoma"/>
            <family val="2"/>
          </rPr>
          <t>From ALISE:
Part II, Table II-1,
Total No. Part-time,
ALA only</t>
        </r>
        <r>
          <rPr>
            <sz val="8"/>
            <color indexed="81"/>
            <rFont val="Tahoma"/>
            <family val="2"/>
          </rPr>
          <t xml:space="preserve">
</t>
        </r>
      </text>
    </comment>
    <comment ref="L22" authorId="0" shapeId="0" xr:uid="{00000000-0006-0000-1000-000011000000}">
      <text>
        <r>
          <rPr>
            <b/>
            <sz val="8"/>
            <color indexed="81"/>
            <rFont val="Tahoma"/>
            <family val="2"/>
          </rPr>
          <t xml:space="preserve">From ALISE:
Part II, Table II-1,
Total Part-Time FTE, ALA only
</t>
        </r>
        <r>
          <rPr>
            <sz val="8"/>
            <color indexed="81"/>
            <rFont val="Tahoma"/>
            <family val="2"/>
          </rPr>
          <t xml:space="preserve">
</t>
        </r>
      </text>
    </comment>
    <comment ref="N22" authorId="0" shapeId="0" xr:uid="{00000000-0006-0000-1000-000012000000}">
      <text>
        <r>
          <rPr>
            <b/>
            <sz val="8"/>
            <color indexed="81"/>
            <rFont val="Tahoma"/>
            <family val="2"/>
          </rPr>
          <t xml:space="preserve">From ALISE:
Part II, Table 11-4, Total AI, AP, B, and H,
ALA only  </t>
        </r>
        <r>
          <rPr>
            <sz val="8"/>
            <color indexed="81"/>
            <rFont val="Tahoma"/>
            <family val="2"/>
          </rPr>
          <t xml:space="preserve">
</t>
        </r>
      </text>
    </comment>
    <comment ref="O22" authorId="0" shapeId="0" xr:uid="{00000000-0006-0000-1000-000013000000}">
      <text>
        <r>
          <rPr>
            <b/>
            <sz val="8"/>
            <color indexed="81"/>
            <rFont val="Tahoma"/>
            <family val="2"/>
          </rPr>
          <t>From ALISE:
Part II, Table II-1, Total FTE, all programs</t>
        </r>
        <r>
          <rPr>
            <sz val="8"/>
            <color indexed="81"/>
            <rFont val="Tahoma"/>
            <family val="2"/>
          </rPr>
          <t xml:space="preserve">
</t>
        </r>
      </text>
    </comment>
    <comment ref="Q22" authorId="0" shapeId="0" xr:uid="{00000000-0006-0000-1000-000014000000}">
      <text>
        <r>
          <rPr>
            <b/>
            <sz val="8"/>
            <color indexed="81"/>
            <rFont val="Tahoma"/>
            <family val="2"/>
          </rPr>
          <t>From ALISE:
Part II, Table II-3, Total, ALA only</t>
        </r>
        <r>
          <rPr>
            <sz val="8"/>
            <color indexed="81"/>
            <rFont val="Tahoma"/>
            <family val="2"/>
          </rPr>
          <t xml:space="preserve">
</t>
        </r>
      </text>
    </comment>
    <comment ref="R22" authorId="0" shapeId="0" xr:uid="{00000000-0006-0000-1000-000015000000}">
      <text>
        <r>
          <rPr>
            <b/>
            <sz val="8"/>
            <color indexed="81"/>
            <rFont val="Tahoma"/>
            <family val="2"/>
          </rPr>
          <t>From ALISE:
Part II, Table II-3, Total all other programs</t>
        </r>
        <r>
          <rPr>
            <sz val="8"/>
            <color indexed="81"/>
            <rFont val="Tahoma"/>
            <family val="2"/>
          </rPr>
          <t xml:space="preserve">
</t>
        </r>
      </text>
    </comment>
    <comment ref="S22" authorId="0" shapeId="0" xr:uid="{00000000-0006-0000-1000-000016000000}">
      <text>
        <r>
          <rPr>
            <b/>
            <sz val="8"/>
            <color indexed="81"/>
            <rFont val="Tahoma"/>
            <family val="2"/>
          </rPr>
          <t>From ALISE:
Part IV, Line 59</t>
        </r>
        <r>
          <rPr>
            <sz val="8"/>
            <color indexed="81"/>
            <rFont val="Tahoma"/>
            <family val="2"/>
          </rPr>
          <t xml:space="preserve">
</t>
        </r>
      </text>
    </comment>
    <comment ref="U22" authorId="0" shapeId="0" xr:uid="{00000000-0006-0000-1000-000017000000}">
      <text>
        <r>
          <rPr>
            <b/>
            <sz val="8"/>
            <color indexed="81"/>
            <rFont val="Tahoma"/>
            <family val="2"/>
          </rPr>
          <t>From ALISE:
Part IV, Line 60</t>
        </r>
        <r>
          <rPr>
            <sz val="8"/>
            <color indexed="81"/>
            <rFont val="Tahoma"/>
            <family val="2"/>
          </rPr>
          <t xml:space="preserve">
</t>
        </r>
      </text>
    </comment>
    <comment ref="V22" authorId="0" shapeId="0" xr:uid="{00000000-0006-0000-1000-000018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1000-000019000000}">
      <text>
        <r>
          <rPr>
            <b/>
            <sz val="8"/>
            <color indexed="81"/>
            <rFont val="Tahoma"/>
            <family val="2"/>
          </rPr>
          <t>From ALISE:
Part I, Item 2, Fall</t>
        </r>
        <r>
          <rPr>
            <sz val="8"/>
            <color indexed="81"/>
            <rFont val="Tahoma"/>
            <family val="2"/>
          </rPr>
          <t xml:space="preserve">
</t>
        </r>
      </text>
    </comment>
    <comment ref="C23" authorId="0" shapeId="0" xr:uid="{00000000-0006-0000-1000-00001A000000}">
      <text>
        <r>
          <rPr>
            <b/>
            <sz val="8"/>
            <color indexed="81"/>
            <rFont val="Tahoma"/>
            <family val="2"/>
          </rPr>
          <t>From ALISE:
Part I, Item 3, Fall</t>
        </r>
        <r>
          <rPr>
            <sz val="8"/>
            <color indexed="81"/>
            <rFont val="Tahoma"/>
            <family val="2"/>
          </rPr>
          <t xml:space="preserve">
</t>
        </r>
      </text>
    </comment>
    <comment ref="I23" authorId="0" shapeId="0" xr:uid="{00000000-0006-0000-1000-00001B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1000-00001C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1000-00001D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1000-00001E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1000-00001F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1000-000020000000}">
      <text>
        <r>
          <rPr>
            <b/>
            <sz val="8"/>
            <color indexed="81"/>
            <rFont val="Tahoma"/>
            <family val="2"/>
          </rPr>
          <t>From ALISE:
Part II, Table II-3, Total, ALA only</t>
        </r>
        <r>
          <rPr>
            <sz val="8"/>
            <color indexed="81"/>
            <rFont val="Tahoma"/>
            <family val="2"/>
          </rPr>
          <t xml:space="preserve">
</t>
        </r>
      </text>
    </comment>
    <comment ref="R23" authorId="0" shapeId="0" xr:uid="{00000000-0006-0000-1000-000021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1000-000022000000}">
      <text>
        <r>
          <rPr>
            <b/>
            <sz val="8"/>
            <color indexed="81"/>
            <rFont val="Tahoma"/>
            <family val="2"/>
          </rPr>
          <t>From ALISE:
Part IV, Line 59</t>
        </r>
        <r>
          <rPr>
            <sz val="8"/>
            <color indexed="81"/>
            <rFont val="Tahoma"/>
            <family val="2"/>
          </rPr>
          <t xml:space="preserve">
</t>
        </r>
      </text>
    </comment>
    <comment ref="U23" authorId="0" shapeId="0" xr:uid="{00000000-0006-0000-1000-000023000000}">
      <text>
        <r>
          <rPr>
            <b/>
            <sz val="8"/>
            <color indexed="81"/>
            <rFont val="Tahoma"/>
            <family val="2"/>
          </rPr>
          <t>From ALISE:
Part IV, Line 60</t>
        </r>
        <r>
          <rPr>
            <sz val="8"/>
            <color indexed="81"/>
            <rFont val="Tahoma"/>
            <family val="2"/>
          </rPr>
          <t xml:space="preserve">
</t>
        </r>
      </text>
    </comment>
    <comment ref="V23" authorId="0" shapeId="0" xr:uid="{00000000-0006-0000-1000-000024000000}">
      <text>
        <r>
          <rPr>
            <b/>
            <sz val="8"/>
            <color indexed="81"/>
            <rFont val="Tahoma"/>
            <family val="2"/>
          </rPr>
          <t>From ALISE:
Part IV, Total lines 61, 62, 63, 64, and 68</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1100-000001000000}">
      <text>
        <r>
          <rPr>
            <b/>
            <sz val="8"/>
            <color indexed="81"/>
            <rFont val="Tahoma"/>
            <family val="2"/>
          </rPr>
          <t>From ALISE:
Part I, Item 2, Fall</t>
        </r>
        <r>
          <rPr>
            <sz val="8"/>
            <color indexed="81"/>
            <rFont val="Tahoma"/>
            <family val="2"/>
          </rPr>
          <t xml:space="preserve">
</t>
        </r>
      </text>
    </comment>
    <comment ref="C21" authorId="0" shapeId="0" xr:uid="{00000000-0006-0000-1100-000002000000}">
      <text>
        <r>
          <rPr>
            <b/>
            <sz val="8"/>
            <color indexed="81"/>
            <rFont val="Tahoma"/>
            <family val="2"/>
          </rPr>
          <t>From ALISE:
Part I, Item 3, Fall</t>
        </r>
        <r>
          <rPr>
            <sz val="8"/>
            <color indexed="81"/>
            <rFont val="Tahoma"/>
            <family val="2"/>
          </rPr>
          <t xml:space="preserve">
</t>
        </r>
      </text>
    </comment>
    <comment ref="I21" authorId="0" shapeId="0" xr:uid="{00000000-0006-0000-11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11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11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1100-000006000000}">
      <text>
        <r>
          <rPr>
            <b/>
            <sz val="8"/>
            <color rgb="FF000000"/>
            <rFont val="Tahoma"/>
            <family val="2"/>
          </rPr>
          <t xml:space="preserve">From ALISE:
</t>
        </r>
        <r>
          <rPr>
            <b/>
            <sz val="8"/>
            <color rgb="FF000000"/>
            <rFont val="Tahoma"/>
            <family val="2"/>
          </rPr>
          <t xml:space="preserve">Part II, Table 11-4, Total AI, AP, B, and H,
</t>
        </r>
        <r>
          <rPr>
            <b/>
            <sz val="8"/>
            <color rgb="FF000000"/>
            <rFont val="Tahoma"/>
            <family val="2"/>
          </rPr>
          <t xml:space="preserve">ALA only  </t>
        </r>
        <r>
          <rPr>
            <sz val="8"/>
            <color rgb="FF000000"/>
            <rFont val="Tahoma"/>
            <family val="2"/>
          </rPr>
          <t xml:space="preserve">
</t>
        </r>
      </text>
    </comment>
    <comment ref="O21" authorId="0" shapeId="0" xr:uid="{00000000-0006-0000-11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11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11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1100-00000A000000}">
      <text>
        <r>
          <rPr>
            <b/>
            <sz val="8"/>
            <color indexed="81"/>
            <rFont val="Tahoma"/>
            <family val="2"/>
          </rPr>
          <t>From ALISE:
Part IV, Line 59</t>
        </r>
        <r>
          <rPr>
            <sz val="8"/>
            <color indexed="81"/>
            <rFont val="Tahoma"/>
            <family val="2"/>
          </rPr>
          <t xml:space="preserve">
</t>
        </r>
      </text>
    </comment>
    <comment ref="U21" authorId="0" shapeId="0" xr:uid="{00000000-0006-0000-1100-00000B000000}">
      <text>
        <r>
          <rPr>
            <b/>
            <sz val="8"/>
            <color indexed="81"/>
            <rFont val="Tahoma"/>
            <family val="2"/>
          </rPr>
          <t>From ALISE:
Part IV, Line 60</t>
        </r>
        <r>
          <rPr>
            <sz val="8"/>
            <color indexed="81"/>
            <rFont val="Tahoma"/>
            <family val="2"/>
          </rPr>
          <t xml:space="preserve">
</t>
        </r>
      </text>
    </comment>
    <comment ref="V21" authorId="0" shapeId="0" xr:uid="{00000000-0006-0000-11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1100-00000D000000}">
      <text>
        <r>
          <rPr>
            <b/>
            <sz val="8"/>
            <color indexed="81"/>
            <rFont val="Tahoma"/>
            <family val="2"/>
          </rPr>
          <t>From ALISE:
Part I, Item 2, Fall</t>
        </r>
        <r>
          <rPr>
            <sz val="8"/>
            <color indexed="81"/>
            <rFont val="Tahoma"/>
            <family val="2"/>
          </rPr>
          <t xml:space="preserve">
</t>
        </r>
      </text>
    </comment>
    <comment ref="C23" authorId="0" shapeId="0" xr:uid="{00000000-0006-0000-1100-00000E000000}">
      <text>
        <r>
          <rPr>
            <b/>
            <sz val="8"/>
            <color indexed="81"/>
            <rFont val="Tahoma"/>
            <family val="2"/>
          </rPr>
          <t>From ALISE:
Part I, Item 3, Fall</t>
        </r>
        <r>
          <rPr>
            <sz val="8"/>
            <color indexed="81"/>
            <rFont val="Tahoma"/>
            <family val="2"/>
          </rPr>
          <t xml:space="preserve">
</t>
        </r>
      </text>
    </comment>
    <comment ref="I23" authorId="0" shapeId="0" xr:uid="{00000000-0006-0000-11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11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11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11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11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11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11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1100-000016000000}">
      <text>
        <r>
          <rPr>
            <b/>
            <sz val="8"/>
            <color indexed="81"/>
            <rFont val="Tahoma"/>
            <family val="2"/>
          </rPr>
          <t>From ALISE:
Part IV, Line 59</t>
        </r>
        <r>
          <rPr>
            <sz val="8"/>
            <color indexed="81"/>
            <rFont val="Tahoma"/>
            <family val="2"/>
          </rPr>
          <t xml:space="preserve">
</t>
        </r>
      </text>
    </comment>
    <comment ref="U23" authorId="0" shapeId="0" xr:uid="{00000000-0006-0000-1100-000017000000}">
      <text>
        <r>
          <rPr>
            <b/>
            <sz val="8"/>
            <color indexed="81"/>
            <rFont val="Tahoma"/>
            <family val="2"/>
          </rPr>
          <t>From ALISE:
Part IV, Line 60</t>
        </r>
        <r>
          <rPr>
            <sz val="8"/>
            <color indexed="81"/>
            <rFont val="Tahoma"/>
            <family val="2"/>
          </rPr>
          <t xml:space="preserve">
</t>
        </r>
      </text>
    </comment>
    <comment ref="V23" authorId="0" shapeId="0" xr:uid="{00000000-0006-0000-11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1200-000001000000}">
      <text>
        <r>
          <rPr>
            <b/>
            <sz val="8"/>
            <color indexed="81"/>
            <rFont val="Tahoma"/>
            <family val="2"/>
          </rPr>
          <t>From ALISE:
Part I, Item 2, Fall</t>
        </r>
        <r>
          <rPr>
            <sz val="8"/>
            <color indexed="81"/>
            <rFont val="Tahoma"/>
            <family val="2"/>
          </rPr>
          <t xml:space="preserve">
</t>
        </r>
      </text>
    </comment>
    <comment ref="C21" authorId="0" shapeId="0" xr:uid="{00000000-0006-0000-1200-000002000000}">
      <text>
        <r>
          <rPr>
            <b/>
            <sz val="8"/>
            <color indexed="81"/>
            <rFont val="Tahoma"/>
            <family val="2"/>
          </rPr>
          <t>From ALISE:
Part I, Item 3, Fall</t>
        </r>
        <r>
          <rPr>
            <sz val="8"/>
            <color indexed="81"/>
            <rFont val="Tahoma"/>
            <family val="2"/>
          </rPr>
          <t xml:space="preserve">
</t>
        </r>
      </text>
    </comment>
    <comment ref="I21" authorId="0" shapeId="0" xr:uid="{00000000-0006-0000-12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1200-000004000000}">
      <text>
        <r>
          <rPr>
            <b/>
            <sz val="8"/>
            <color rgb="FF000000"/>
            <rFont val="Tahoma"/>
            <family val="2"/>
          </rPr>
          <t xml:space="preserve">From ALISE:
</t>
        </r>
        <r>
          <rPr>
            <b/>
            <sz val="8"/>
            <color rgb="FF000000"/>
            <rFont val="Tahoma"/>
            <family val="2"/>
          </rPr>
          <t xml:space="preserve">Part II, Table II-1,
</t>
        </r>
        <r>
          <rPr>
            <b/>
            <sz val="8"/>
            <color rgb="FF000000"/>
            <rFont val="Tahoma"/>
            <family val="2"/>
          </rPr>
          <t xml:space="preserve">Total No. Part-time,
</t>
        </r>
        <r>
          <rPr>
            <b/>
            <sz val="8"/>
            <color rgb="FF000000"/>
            <rFont val="Tahoma"/>
            <family val="2"/>
          </rPr>
          <t>ALA only</t>
        </r>
        <r>
          <rPr>
            <sz val="8"/>
            <color rgb="FF000000"/>
            <rFont val="Tahoma"/>
            <family val="2"/>
          </rPr>
          <t xml:space="preserve">
</t>
        </r>
      </text>
    </comment>
    <comment ref="L21" authorId="0" shapeId="0" xr:uid="{00000000-0006-0000-12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12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12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12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1200-000009000000}">
      <text>
        <r>
          <rPr>
            <b/>
            <sz val="8"/>
            <color indexed="81"/>
            <rFont val="Tahoma"/>
            <family val="2"/>
          </rPr>
          <t>From ALISE:
Part II, Table II-3, Total all other programs</t>
        </r>
        <r>
          <rPr>
            <sz val="8"/>
            <color indexed="81"/>
            <rFont val="Tahoma"/>
            <family val="2"/>
          </rPr>
          <t xml:space="preserve">
</t>
        </r>
      </text>
    </comment>
    <comment ref="B22" authorId="0" shapeId="0" xr:uid="{00000000-0006-0000-1200-00000A000000}">
      <text>
        <r>
          <rPr>
            <b/>
            <sz val="8"/>
            <color indexed="81"/>
            <rFont val="Tahoma"/>
            <family val="2"/>
          </rPr>
          <t>From ALISE:
Part I, Item 2, Fall</t>
        </r>
        <r>
          <rPr>
            <sz val="8"/>
            <color indexed="81"/>
            <rFont val="Tahoma"/>
            <family val="2"/>
          </rPr>
          <t xml:space="preserve">
</t>
        </r>
      </text>
    </comment>
    <comment ref="C22" authorId="0" shapeId="0" xr:uid="{00000000-0006-0000-1200-00000B000000}">
      <text>
        <r>
          <rPr>
            <b/>
            <sz val="8"/>
            <color indexed="81"/>
            <rFont val="Tahoma"/>
            <family val="2"/>
          </rPr>
          <t>From ALISE:
Part I, Item 3, Fall</t>
        </r>
        <r>
          <rPr>
            <sz val="8"/>
            <color indexed="81"/>
            <rFont val="Tahoma"/>
            <family val="2"/>
          </rPr>
          <t xml:space="preserve">
</t>
        </r>
      </text>
    </comment>
    <comment ref="I22" authorId="0" shapeId="0" xr:uid="{00000000-0006-0000-1200-00000C000000}">
      <text>
        <r>
          <rPr>
            <b/>
            <sz val="8"/>
            <color indexed="81"/>
            <rFont val="Tahoma"/>
            <family val="2"/>
          </rPr>
          <t>From ALISE:
Part II, Table II-1,
Total  Full-time,
ALA only</t>
        </r>
        <r>
          <rPr>
            <sz val="8"/>
            <color indexed="81"/>
            <rFont val="Tahoma"/>
            <family val="2"/>
          </rPr>
          <t xml:space="preserve">
</t>
        </r>
      </text>
    </comment>
    <comment ref="J22" authorId="0" shapeId="0" xr:uid="{00000000-0006-0000-1200-00000D000000}">
      <text>
        <r>
          <rPr>
            <b/>
            <sz val="8"/>
            <color indexed="81"/>
            <rFont val="Tahoma"/>
            <family val="2"/>
          </rPr>
          <t>From ALISE:
Part II, Table II-1,
Total No. Part-time,
ALA only</t>
        </r>
        <r>
          <rPr>
            <sz val="8"/>
            <color indexed="81"/>
            <rFont val="Tahoma"/>
            <family val="2"/>
          </rPr>
          <t xml:space="preserve">
</t>
        </r>
      </text>
    </comment>
    <comment ref="L22" authorId="0" shapeId="0" xr:uid="{00000000-0006-0000-1200-00000E000000}">
      <text>
        <r>
          <rPr>
            <b/>
            <sz val="8"/>
            <color indexed="81"/>
            <rFont val="Tahoma"/>
            <family val="2"/>
          </rPr>
          <t xml:space="preserve">From ALISE:
Part II, Table II-1,
Total Part-Time FTE, ALA only
</t>
        </r>
        <r>
          <rPr>
            <sz val="8"/>
            <color indexed="81"/>
            <rFont val="Tahoma"/>
            <family val="2"/>
          </rPr>
          <t xml:space="preserve">
</t>
        </r>
      </text>
    </comment>
    <comment ref="N22" authorId="0" shapeId="0" xr:uid="{00000000-0006-0000-1200-00000F000000}">
      <text>
        <r>
          <rPr>
            <b/>
            <sz val="8"/>
            <color indexed="81"/>
            <rFont val="Tahoma"/>
            <family val="2"/>
          </rPr>
          <t xml:space="preserve">From ALISE:
Part II, Table 11-4, Total AI, AP, B, and H,
ALA only  </t>
        </r>
        <r>
          <rPr>
            <sz val="8"/>
            <color indexed="81"/>
            <rFont val="Tahoma"/>
            <family val="2"/>
          </rPr>
          <t xml:space="preserve">
</t>
        </r>
      </text>
    </comment>
    <comment ref="O22" authorId="0" shapeId="0" xr:uid="{00000000-0006-0000-1200-000010000000}">
      <text>
        <r>
          <rPr>
            <b/>
            <sz val="8"/>
            <color indexed="81"/>
            <rFont val="Tahoma"/>
            <family val="2"/>
          </rPr>
          <t>From ALISE:
Part II, Table II-1, Total FTE, all programs</t>
        </r>
        <r>
          <rPr>
            <sz val="8"/>
            <color indexed="81"/>
            <rFont val="Tahoma"/>
            <family val="2"/>
          </rPr>
          <t xml:space="preserve">
</t>
        </r>
      </text>
    </comment>
    <comment ref="Q22" authorId="0" shapeId="0" xr:uid="{00000000-0006-0000-1200-000011000000}">
      <text>
        <r>
          <rPr>
            <b/>
            <sz val="8"/>
            <color indexed="81"/>
            <rFont val="Tahoma"/>
            <family val="2"/>
          </rPr>
          <t>From ALISE:
Part II, Table II-3, Total, ALA only</t>
        </r>
        <r>
          <rPr>
            <sz val="8"/>
            <color indexed="81"/>
            <rFont val="Tahoma"/>
            <family val="2"/>
          </rPr>
          <t xml:space="preserve">
</t>
        </r>
      </text>
    </comment>
    <comment ref="R22" authorId="0" shapeId="0" xr:uid="{00000000-0006-0000-1200-000012000000}">
      <text>
        <r>
          <rPr>
            <b/>
            <sz val="8"/>
            <color indexed="81"/>
            <rFont val="Tahoma"/>
            <family val="2"/>
          </rPr>
          <t>From ALISE:
Part II, Table II-3, Total all other programs</t>
        </r>
        <r>
          <rPr>
            <sz val="8"/>
            <color indexed="81"/>
            <rFont val="Tahoma"/>
            <family val="2"/>
          </rPr>
          <t xml:space="preserve">
</t>
        </r>
      </text>
    </comment>
    <comment ref="S22" authorId="0" shapeId="0" xr:uid="{00000000-0006-0000-1200-000013000000}">
      <text>
        <r>
          <rPr>
            <b/>
            <sz val="8"/>
            <color indexed="81"/>
            <rFont val="Tahoma"/>
            <family val="2"/>
          </rPr>
          <t>From ALISE:
Part IV, Line 59</t>
        </r>
        <r>
          <rPr>
            <sz val="8"/>
            <color indexed="81"/>
            <rFont val="Tahoma"/>
            <family val="2"/>
          </rPr>
          <t xml:space="preserve">
</t>
        </r>
      </text>
    </comment>
    <comment ref="U22" authorId="0" shapeId="0" xr:uid="{00000000-0006-0000-1200-000014000000}">
      <text>
        <r>
          <rPr>
            <b/>
            <sz val="8"/>
            <color indexed="81"/>
            <rFont val="Tahoma"/>
            <family val="2"/>
          </rPr>
          <t>From ALISE:
Part IV, Line 60</t>
        </r>
        <r>
          <rPr>
            <sz val="8"/>
            <color indexed="81"/>
            <rFont val="Tahoma"/>
            <family val="2"/>
          </rPr>
          <t xml:space="preserve">
</t>
        </r>
      </text>
    </comment>
    <comment ref="V22" authorId="0" shapeId="0" xr:uid="{00000000-0006-0000-1200-000015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1200-000016000000}">
      <text>
        <r>
          <rPr>
            <b/>
            <sz val="8"/>
            <color indexed="81"/>
            <rFont val="Tahoma"/>
            <family val="2"/>
          </rPr>
          <t>From ALISE:
Part I, Item 2, Fall</t>
        </r>
        <r>
          <rPr>
            <sz val="8"/>
            <color indexed="81"/>
            <rFont val="Tahoma"/>
            <family val="2"/>
          </rPr>
          <t xml:space="preserve">
</t>
        </r>
      </text>
    </comment>
    <comment ref="C23" authorId="0" shapeId="0" xr:uid="{00000000-0006-0000-1200-000017000000}">
      <text>
        <r>
          <rPr>
            <b/>
            <sz val="8"/>
            <color indexed="81"/>
            <rFont val="Tahoma"/>
            <family val="2"/>
          </rPr>
          <t>From ALISE:
Part I, Item 3, Fall</t>
        </r>
        <r>
          <rPr>
            <sz val="8"/>
            <color indexed="81"/>
            <rFont val="Tahoma"/>
            <family val="2"/>
          </rPr>
          <t xml:space="preserve">
</t>
        </r>
      </text>
    </comment>
    <comment ref="I23" authorId="0" shapeId="0" xr:uid="{00000000-0006-0000-1200-000018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1200-000019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1200-00001A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1200-00001B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1200-00001C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1200-00001D000000}">
      <text>
        <r>
          <rPr>
            <b/>
            <sz val="8"/>
            <color indexed="81"/>
            <rFont val="Tahoma"/>
            <family val="2"/>
          </rPr>
          <t>From ALISE:
Part II, Table II-3, Total, ALA only</t>
        </r>
        <r>
          <rPr>
            <sz val="8"/>
            <color indexed="81"/>
            <rFont val="Tahoma"/>
            <family val="2"/>
          </rPr>
          <t xml:space="preserve">
</t>
        </r>
      </text>
    </comment>
    <comment ref="R23" authorId="0" shapeId="0" xr:uid="{00000000-0006-0000-1200-00001E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1200-00001F000000}">
      <text>
        <r>
          <rPr>
            <b/>
            <sz val="8"/>
            <color indexed="81"/>
            <rFont val="Tahoma"/>
            <family val="2"/>
          </rPr>
          <t>From ALISE:
Part IV, Line 59</t>
        </r>
        <r>
          <rPr>
            <sz val="8"/>
            <color indexed="81"/>
            <rFont val="Tahoma"/>
            <family val="2"/>
          </rPr>
          <t xml:space="preserve">
</t>
        </r>
      </text>
    </comment>
    <comment ref="U23" authorId="0" shapeId="0" xr:uid="{00000000-0006-0000-1200-000020000000}">
      <text>
        <r>
          <rPr>
            <b/>
            <sz val="8"/>
            <color indexed="81"/>
            <rFont val="Tahoma"/>
            <family val="2"/>
          </rPr>
          <t>From ALISE:
Part IV, Line 60</t>
        </r>
        <r>
          <rPr>
            <sz val="8"/>
            <color indexed="81"/>
            <rFont val="Tahoma"/>
            <family val="2"/>
          </rPr>
          <t xml:space="preserve">
</t>
        </r>
      </text>
    </comment>
    <comment ref="V23" authorId="0" shapeId="0" xr:uid="{00000000-0006-0000-1200-000021000000}">
      <text>
        <r>
          <rPr>
            <b/>
            <sz val="8"/>
            <color indexed="81"/>
            <rFont val="Tahoma"/>
            <family val="2"/>
          </rPr>
          <t>From ALISE:
Part IV, Total lines 61, 62, 63, 64, and 68</t>
        </r>
        <r>
          <rPr>
            <sz val="8"/>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1300-000001000000}">
      <text>
        <r>
          <rPr>
            <b/>
            <sz val="8"/>
            <color indexed="81"/>
            <rFont val="Tahoma"/>
            <family val="2"/>
          </rPr>
          <t>From ALISE:
Part I, Item 2, Fall</t>
        </r>
        <r>
          <rPr>
            <sz val="8"/>
            <color indexed="81"/>
            <rFont val="Tahoma"/>
            <family val="2"/>
          </rPr>
          <t xml:space="preserve">
</t>
        </r>
      </text>
    </comment>
    <comment ref="C21" authorId="0" shapeId="0" xr:uid="{00000000-0006-0000-1300-000002000000}">
      <text>
        <r>
          <rPr>
            <b/>
            <sz val="8"/>
            <color indexed="81"/>
            <rFont val="Tahoma"/>
            <family val="2"/>
          </rPr>
          <t>From ALISE:
Part I, Item 3, Fall</t>
        </r>
        <r>
          <rPr>
            <sz val="8"/>
            <color indexed="81"/>
            <rFont val="Tahoma"/>
            <family val="2"/>
          </rPr>
          <t xml:space="preserve">
</t>
        </r>
      </text>
    </comment>
    <comment ref="I21" authorId="0" shapeId="0" xr:uid="{00000000-0006-0000-13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13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13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13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13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13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13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1300-00000A000000}">
      <text>
        <r>
          <rPr>
            <b/>
            <sz val="8"/>
            <color indexed="81"/>
            <rFont val="Tahoma"/>
            <family val="2"/>
          </rPr>
          <t>From ALISE:
Part IV, Line 59</t>
        </r>
        <r>
          <rPr>
            <sz val="8"/>
            <color indexed="81"/>
            <rFont val="Tahoma"/>
            <family val="2"/>
          </rPr>
          <t xml:space="preserve">
</t>
        </r>
      </text>
    </comment>
    <comment ref="U21" authorId="0" shapeId="0" xr:uid="{00000000-0006-0000-1300-00000B000000}">
      <text>
        <r>
          <rPr>
            <b/>
            <sz val="8"/>
            <color indexed="81"/>
            <rFont val="Tahoma"/>
            <family val="2"/>
          </rPr>
          <t>From ALISE:
Part IV, Line 60</t>
        </r>
        <r>
          <rPr>
            <sz val="8"/>
            <color indexed="81"/>
            <rFont val="Tahoma"/>
            <family val="2"/>
          </rPr>
          <t xml:space="preserve">
</t>
        </r>
      </text>
    </comment>
    <comment ref="V21" authorId="0" shapeId="0" xr:uid="{00000000-0006-0000-13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1300-00000D000000}">
      <text>
        <r>
          <rPr>
            <b/>
            <sz val="8"/>
            <color indexed="81"/>
            <rFont val="Tahoma"/>
            <family val="2"/>
          </rPr>
          <t>From ALISE:
Part I, Item 2, Fall</t>
        </r>
        <r>
          <rPr>
            <sz val="8"/>
            <color indexed="81"/>
            <rFont val="Tahoma"/>
            <family val="2"/>
          </rPr>
          <t xml:space="preserve">
</t>
        </r>
      </text>
    </comment>
    <comment ref="C23" authorId="0" shapeId="0" xr:uid="{00000000-0006-0000-1300-00000E000000}">
      <text>
        <r>
          <rPr>
            <b/>
            <sz val="8"/>
            <color indexed="81"/>
            <rFont val="Tahoma"/>
            <family val="2"/>
          </rPr>
          <t>From ALISE:
Part I, Item 3, Fall</t>
        </r>
        <r>
          <rPr>
            <sz val="8"/>
            <color indexed="81"/>
            <rFont val="Tahoma"/>
            <family val="2"/>
          </rPr>
          <t xml:space="preserve">
</t>
        </r>
      </text>
    </comment>
    <comment ref="I23" authorId="0" shapeId="0" xr:uid="{00000000-0006-0000-13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13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13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13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13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13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13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1300-000016000000}">
      <text>
        <r>
          <rPr>
            <b/>
            <sz val="8"/>
            <color indexed="81"/>
            <rFont val="Tahoma"/>
            <family val="2"/>
          </rPr>
          <t>From ALISE:
Part IV, Line 59</t>
        </r>
        <r>
          <rPr>
            <sz val="8"/>
            <color indexed="81"/>
            <rFont val="Tahoma"/>
            <family val="2"/>
          </rPr>
          <t xml:space="preserve">
</t>
        </r>
      </text>
    </comment>
    <comment ref="U23" authorId="0" shapeId="0" xr:uid="{00000000-0006-0000-1300-000017000000}">
      <text>
        <r>
          <rPr>
            <b/>
            <sz val="8"/>
            <color indexed="81"/>
            <rFont val="Tahoma"/>
            <family val="2"/>
          </rPr>
          <t>From ALISE:
Part IV, Line 60</t>
        </r>
        <r>
          <rPr>
            <sz val="8"/>
            <color indexed="81"/>
            <rFont val="Tahoma"/>
            <family val="2"/>
          </rPr>
          <t xml:space="preserve">
</t>
        </r>
      </text>
    </comment>
    <comment ref="V23" authorId="0" shapeId="0" xr:uid="{00000000-0006-0000-13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3" authorId="0" shapeId="0" xr:uid="{00000000-0006-0000-1400-000001000000}">
      <text>
        <r>
          <rPr>
            <b/>
            <sz val="8"/>
            <color indexed="81"/>
            <rFont val="Tahoma"/>
            <family val="2"/>
          </rPr>
          <t>From ALISE:
Part I, Item 2, Fall</t>
        </r>
        <r>
          <rPr>
            <sz val="8"/>
            <color indexed="81"/>
            <rFont val="Tahoma"/>
            <family val="2"/>
          </rPr>
          <t xml:space="preserve">
</t>
        </r>
      </text>
    </comment>
    <comment ref="C23" authorId="0" shapeId="0" xr:uid="{00000000-0006-0000-1400-000002000000}">
      <text>
        <r>
          <rPr>
            <b/>
            <sz val="8"/>
            <color indexed="81"/>
            <rFont val="Tahoma"/>
            <family val="2"/>
          </rPr>
          <t>From ALISE:
Part I, Item 3, Fall</t>
        </r>
        <r>
          <rPr>
            <sz val="8"/>
            <color indexed="81"/>
            <rFont val="Tahoma"/>
            <family val="2"/>
          </rPr>
          <t xml:space="preserve">
</t>
        </r>
      </text>
    </comment>
    <comment ref="I23" authorId="0" shapeId="0" xr:uid="{00000000-0006-0000-1400-000003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1400-000004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1400-000005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1400-000006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1400-000007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1400-000008000000}">
      <text>
        <r>
          <rPr>
            <b/>
            <sz val="8"/>
            <color indexed="81"/>
            <rFont val="Tahoma"/>
            <family val="2"/>
          </rPr>
          <t>From ALISE:
Part II, Table II-3, Total, ALA only</t>
        </r>
        <r>
          <rPr>
            <sz val="8"/>
            <color indexed="81"/>
            <rFont val="Tahoma"/>
            <family val="2"/>
          </rPr>
          <t xml:space="preserve">
</t>
        </r>
      </text>
    </comment>
    <comment ref="R23" authorId="0" shapeId="0" xr:uid="{00000000-0006-0000-1400-000009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1400-00000A000000}">
      <text>
        <r>
          <rPr>
            <b/>
            <sz val="8"/>
            <color indexed="81"/>
            <rFont val="Tahoma"/>
            <family val="2"/>
          </rPr>
          <t>From ALISE:
Part IV, Line 59</t>
        </r>
        <r>
          <rPr>
            <sz val="8"/>
            <color indexed="81"/>
            <rFont val="Tahoma"/>
            <family val="2"/>
          </rPr>
          <t xml:space="preserve">
</t>
        </r>
      </text>
    </comment>
    <comment ref="U23" authorId="0" shapeId="0" xr:uid="{00000000-0006-0000-1400-00000B000000}">
      <text>
        <r>
          <rPr>
            <b/>
            <sz val="8"/>
            <color indexed="81"/>
            <rFont val="Tahoma"/>
            <family val="2"/>
          </rPr>
          <t>From ALISE:
Part IV, Line 60</t>
        </r>
        <r>
          <rPr>
            <sz val="8"/>
            <color indexed="81"/>
            <rFont val="Tahoma"/>
            <family val="2"/>
          </rPr>
          <t xml:space="preserve">
</t>
        </r>
      </text>
    </comment>
    <comment ref="V23" authorId="0" shapeId="0" xr:uid="{00000000-0006-0000-1400-00000C000000}">
      <text>
        <r>
          <rPr>
            <b/>
            <sz val="8"/>
            <color indexed="81"/>
            <rFont val="Tahoma"/>
            <family val="2"/>
          </rPr>
          <t>From ALISE:
Part IV, Total lines 61, 62, 63, 64, and 68</t>
        </r>
        <r>
          <rPr>
            <sz val="8"/>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1600-000001000000}">
      <text>
        <r>
          <rPr>
            <b/>
            <sz val="8"/>
            <color indexed="81"/>
            <rFont val="Tahoma"/>
            <family val="2"/>
          </rPr>
          <t>From ALISE:
Part I, Item 2, Fall</t>
        </r>
        <r>
          <rPr>
            <sz val="8"/>
            <color indexed="81"/>
            <rFont val="Tahoma"/>
            <family val="2"/>
          </rPr>
          <t xml:space="preserve">
</t>
        </r>
      </text>
    </comment>
    <comment ref="C21" authorId="0" shapeId="0" xr:uid="{00000000-0006-0000-1600-000002000000}">
      <text>
        <r>
          <rPr>
            <b/>
            <sz val="8"/>
            <color indexed="81"/>
            <rFont val="Tahoma"/>
            <family val="2"/>
          </rPr>
          <t>From ALISE:
Part I, Item 3, Fall</t>
        </r>
        <r>
          <rPr>
            <sz val="8"/>
            <color indexed="81"/>
            <rFont val="Tahoma"/>
            <family val="2"/>
          </rPr>
          <t xml:space="preserve">
</t>
        </r>
      </text>
    </comment>
    <comment ref="I21" authorId="0" shapeId="0" xr:uid="{00000000-0006-0000-16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16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16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16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16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16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16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1600-00000A000000}">
      <text>
        <r>
          <rPr>
            <b/>
            <sz val="8"/>
            <color indexed="81"/>
            <rFont val="Tahoma"/>
            <family val="2"/>
          </rPr>
          <t>From ALISE:
Part IV, Line 59</t>
        </r>
        <r>
          <rPr>
            <sz val="8"/>
            <color indexed="81"/>
            <rFont val="Tahoma"/>
            <family val="2"/>
          </rPr>
          <t xml:space="preserve">
</t>
        </r>
      </text>
    </comment>
    <comment ref="U21" authorId="0" shapeId="0" xr:uid="{00000000-0006-0000-1600-00000B000000}">
      <text>
        <r>
          <rPr>
            <b/>
            <sz val="8"/>
            <color indexed="81"/>
            <rFont val="Tahoma"/>
            <family val="2"/>
          </rPr>
          <t>From ALISE:
Part IV, Line 60</t>
        </r>
        <r>
          <rPr>
            <sz val="8"/>
            <color indexed="81"/>
            <rFont val="Tahoma"/>
            <family val="2"/>
          </rPr>
          <t xml:space="preserve">
</t>
        </r>
      </text>
    </comment>
    <comment ref="V21" authorId="0" shapeId="0" xr:uid="{00000000-0006-0000-16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1600-00000D000000}">
      <text>
        <r>
          <rPr>
            <b/>
            <sz val="8"/>
            <color indexed="81"/>
            <rFont val="Tahoma"/>
            <family val="2"/>
          </rPr>
          <t>From ALISE:
Part I, Item 2, Fall</t>
        </r>
        <r>
          <rPr>
            <sz val="8"/>
            <color indexed="81"/>
            <rFont val="Tahoma"/>
            <family val="2"/>
          </rPr>
          <t xml:space="preserve">
</t>
        </r>
      </text>
    </comment>
    <comment ref="C23" authorId="0" shapeId="0" xr:uid="{00000000-0006-0000-1600-00000E000000}">
      <text>
        <r>
          <rPr>
            <b/>
            <sz val="8"/>
            <color indexed="81"/>
            <rFont val="Tahoma"/>
            <family val="2"/>
          </rPr>
          <t>From ALISE:
Part I, Item 3, Fall</t>
        </r>
        <r>
          <rPr>
            <sz val="8"/>
            <color indexed="81"/>
            <rFont val="Tahoma"/>
            <family val="2"/>
          </rPr>
          <t xml:space="preserve">
</t>
        </r>
      </text>
    </comment>
    <comment ref="I23" authorId="0" shapeId="0" xr:uid="{00000000-0006-0000-16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16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16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16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16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16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16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1600-000016000000}">
      <text>
        <r>
          <rPr>
            <b/>
            <sz val="8"/>
            <color indexed="81"/>
            <rFont val="Tahoma"/>
            <family val="2"/>
          </rPr>
          <t>From ALISE:
Part IV, Line 59</t>
        </r>
        <r>
          <rPr>
            <sz val="8"/>
            <color indexed="81"/>
            <rFont val="Tahoma"/>
            <family val="2"/>
          </rPr>
          <t xml:space="preserve">
</t>
        </r>
      </text>
    </comment>
    <comment ref="U23" authorId="0" shapeId="0" xr:uid="{00000000-0006-0000-1600-000017000000}">
      <text>
        <r>
          <rPr>
            <b/>
            <sz val="8"/>
            <color indexed="81"/>
            <rFont val="Tahoma"/>
            <family val="2"/>
          </rPr>
          <t>From ALISE:
Part IV, Line 60</t>
        </r>
        <r>
          <rPr>
            <sz val="8"/>
            <color indexed="81"/>
            <rFont val="Tahoma"/>
            <family val="2"/>
          </rPr>
          <t xml:space="preserve">
</t>
        </r>
      </text>
    </comment>
    <comment ref="V23" authorId="0" shapeId="0" xr:uid="{00000000-0006-0000-16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1700-000001000000}">
      <text>
        <r>
          <rPr>
            <b/>
            <sz val="8"/>
            <color indexed="81"/>
            <rFont val="Tahoma"/>
            <family val="2"/>
          </rPr>
          <t>From ALISE:
Part I, Item 2, Fall</t>
        </r>
        <r>
          <rPr>
            <sz val="8"/>
            <color indexed="81"/>
            <rFont val="Tahoma"/>
            <family val="2"/>
          </rPr>
          <t xml:space="preserve">
</t>
        </r>
      </text>
    </comment>
    <comment ref="C21" authorId="0" shapeId="0" xr:uid="{00000000-0006-0000-1700-000002000000}">
      <text>
        <r>
          <rPr>
            <b/>
            <sz val="8"/>
            <color indexed="81"/>
            <rFont val="Tahoma"/>
            <family val="2"/>
          </rPr>
          <t>From ALISE:
Part I, Item 3, Fall</t>
        </r>
        <r>
          <rPr>
            <sz val="8"/>
            <color indexed="81"/>
            <rFont val="Tahoma"/>
            <family val="2"/>
          </rPr>
          <t xml:space="preserve">
</t>
        </r>
      </text>
    </comment>
    <comment ref="I21" authorId="0" shapeId="0" xr:uid="{00000000-0006-0000-17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17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17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17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17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17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17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1700-00000A000000}">
      <text>
        <r>
          <rPr>
            <b/>
            <sz val="8"/>
            <color indexed="81"/>
            <rFont val="Tahoma"/>
            <family val="2"/>
          </rPr>
          <t>From ALISE:
Part IV, Line 59</t>
        </r>
        <r>
          <rPr>
            <sz val="8"/>
            <color indexed="81"/>
            <rFont val="Tahoma"/>
            <family val="2"/>
          </rPr>
          <t xml:space="preserve">
</t>
        </r>
      </text>
    </comment>
    <comment ref="U21" authorId="0" shapeId="0" xr:uid="{00000000-0006-0000-1700-00000B000000}">
      <text>
        <r>
          <rPr>
            <b/>
            <sz val="8"/>
            <color indexed="81"/>
            <rFont val="Tahoma"/>
            <family val="2"/>
          </rPr>
          <t>From ALISE:
Part IV, Line 60</t>
        </r>
        <r>
          <rPr>
            <sz val="8"/>
            <color indexed="81"/>
            <rFont val="Tahoma"/>
            <family val="2"/>
          </rPr>
          <t xml:space="preserve">
</t>
        </r>
      </text>
    </comment>
    <comment ref="V21" authorId="0" shapeId="0" xr:uid="{00000000-0006-0000-17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1700-00000D000000}">
      <text>
        <r>
          <rPr>
            <b/>
            <sz val="8"/>
            <color indexed="81"/>
            <rFont val="Tahoma"/>
            <family val="2"/>
          </rPr>
          <t>From ALISE:
Part I, Item 2, Fall</t>
        </r>
        <r>
          <rPr>
            <sz val="8"/>
            <color indexed="81"/>
            <rFont val="Tahoma"/>
            <family val="2"/>
          </rPr>
          <t xml:space="preserve">
</t>
        </r>
      </text>
    </comment>
    <comment ref="C23" authorId="0" shapeId="0" xr:uid="{00000000-0006-0000-1700-00000E000000}">
      <text>
        <r>
          <rPr>
            <b/>
            <sz val="8"/>
            <color indexed="81"/>
            <rFont val="Tahoma"/>
            <family val="2"/>
          </rPr>
          <t>From ALISE:
Part I, Item 3, Fall</t>
        </r>
        <r>
          <rPr>
            <sz val="8"/>
            <color indexed="81"/>
            <rFont val="Tahoma"/>
            <family val="2"/>
          </rPr>
          <t xml:space="preserve">
</t>
        </r>
      </text>
    </comment>
    <comment ref="I23" authorId="0" shapeId="0" xr:uid="{00000000-0006-0000-17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17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17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17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17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17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17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1700-000016000000}">
      <text>
        <r>
          <rPr>
            <b/>
            <sz val="8"/>
            <color indexed="81"/>
            <rFont val="Tahoma"/>
            <family val="2"/>
          </rPr>
          <t>From ALISE:
Part IV, Line 59</t>
        </r>
        <r>
          <rPr>
            <sz val="8"/>
            <color indexed="81"/>
            <rFont val="Tahoma"/>
            <family val="2"/>
          </rPr>
          <t xml:space="preserve">
</t>
        </r>
      </text>
    </comment>
    <comment ref="U23" authorId="0" shapeId="0" xr:uid="{00000000-0006-0000-1700-000017000000}">
      <text>
        <r>
          <rPr>
            <b/>
            <sz val="8"/>
            <color indexed="81"/>
            <rFont val="Tahoma"/>
            <family val="2"/>
          </rPr>
          <t>From ALISE:
Part IV, Line 60</t>
        </r>
        <r>
          <rPr>
            <sz val="8"/>
            <color indexed="81"/>
            <rFont val="Tahoma"/>
            <family val="2"/>
          </rPr>
          <t xml:space="preserve">
</t>
        </r>
      </text>
    </comment>
    <comment ref="V23" authorId="0" shapeId="0" xr:uid="{00000000-0006-0000-17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Will</author>
    <author>Karen O'Brien</author>
  </authors>
  <commentList>
    <comment ref="U6" authorId="0" shapeId="0" xr:uid="{529DA913-D15C-4950-A0ED-89ABE471FBBC}">
      <text>
        <r>
          <rPr>
            <b/>
            <sz val="9"/>
            <color indexed="81"/>
            <rFont val="Tahoma"/>
            <family val="2"/>
          </rPr>
          <t>Will:</t>
        </r>
        <r>
          <rPr>
            <sz val="9"/>
            <color indexed="81"/>
            <rFont val="Tahoma"/>
            <family val="2"/>
          </rPr>
          <t xml:space="preserve">
Income reporting beginning this year includes budget for an additional unit in the School (ICT). This is not an ALA program.
</t>
        </r>
      </text>
    </comment>
    <comment ref="B23" authorId="1" shapeId="0" xr:uid="{00000000-0006-0000-1800-000001000000}">
      <text>
        <r>
          <rPr>
            <b/>
            <sz val="8"/>
            <color indexed="81"/>
            <rFont val="Tahoma"/>
            <family val="2"/>
          </rPr>
          <t>From ALISE:
Part I, Item 2, Fall</t>
        </r>
        <r>
          <rPr>
            <sz val="8"/>
            <color indexed="81"/>
            <rFont val="Tahoma"/>
            <family val="2"/>
          </rPr>
          <t xml:space="preserve">
</t>
        </r>
      </text>
    </comment>
    <comment ref="C23" authorId="1" shapeId="0" xr:uid="{00000000-0006-0000-1800-000002000000}">
      <text>
        <r>
          <rPr>
            <b/>
            <sz val="8"/>
            <color indexed="81"/>
            <rFont val="Tahoma"/>
            <family val="2"/>
          </rPr>
          <t>From ALISE:
Part I, Item 3, Fall</t>
        </r>
        <r>
          <rPr>
            <sz val="8"/>
            <color indexed="81"/>
            <rFont val="Tahoma"/>
            <family val="2"/>
          </rPr>
          <t xml:space="preserve">
</t>
        </r>
      </text>
    </comment>
    <comment ref="I23" authorId="1" shapeId="0" xr:uid="{00000000-0006-0000-1800-000003000000}">
      <text>
        <r>
          <rPr>
            <b/>
            <sz val="8"/>
            <color indexed="81"/>
            <rFont val="Tahoma"/>
            <family val="2"/>
          </rPr>
          <t>From ALISE:
Part II, Table II-1,
Total  Full-time,
ALA only</t>
        </r>
        <r>
          <rPr>
            <sz val="8"/>
            <color indexed="81"/>
            <rFont val="Tahoma"/>
            <family val="2"/>
          </rPr>
          <t xml:space="preserve">
</t>
        </r>
      </text>
    </comment>
    <comment ref="J23" authorId="1" shapeId="0" xr:uid="{00000000-0006-0000-1800-000004000000}">
      <text>
        <r>
          <rPr>
            <b/>
            <sz val="8"/>
            <color indexed="81"/>
            <rFont val="Tahoma"/>
            <family val="2"/>
          </rPr>
          <t>From ALISE:
Part II, Table II-1,
Total No. Part-time,
ALA only</t>
        </r>
        <r>
          <rPr>
            <sz val="8"/>
            <color indexed="81"/>
            <rFont val="Tahoma"/>
            <family val="2"/>
          </rPr>
          <t xml:space="preserve">
</t>
        </r>
      </text>
    </comment>
    <comment ref="L23" authorId="1" shapeId="0" xr:uid="{00000000-0006-0000-1800-000005000000}">
      <text>
        <r>
          <rPr>
            <b/>
            <sz val="8"/>
            <color indexed="81"/>
            <rFont val="Tahoma"/>
            <family val="2"/>
          </rPr>
          <t xml:space="preserve">From ALISE:
Part II, Table II-1,
Total Part-Time FTE, ALA only
</t>
        </r>
        <r>
          <rPr>
            <sz val="8"/>
            <color indexed="81"/>
            <rFont val="Tahoma"/>
            <family val="2"/>
          </rPr>
          <t xml:space="preserve">
</t>
        </r>
      </text>
    </comment>
    <comment ref="N23" authorId="1" shapeId="0" xr:uid="{00000000-0006-0000-1800-000006000000}">
      <text>
        <r>
          <rPr>
            <b/>
            <sz val="8"/>
            <color indexed="81"/>
            <rFont val="Tahoma"/>
            <family val="2"/>
          </rPr>
          <t xml:space="preserve">From ALISE:
Part II, Table 11-4, Total AI, AP, B, and H,
ALA only  </t>
        </r>
        <r>
          <rPr>
            <sz val="8"/>
            <color indexed="81"/>
            <rFont val="Tahoma"/>
            <family val="2"/>
          </rPr>
          <t xml:space="preserve">
</t>
        </r>
      </text>
    </comment>
    <comment ref="O23" authorId="1" shapeId="0" xr:uid="{00000000-0006-0000-1800-000007000000}">
      <text>
        <r>
          <rPr>
            <b/>
            <sz val="8"/>
            <color indexed="81"/>
            <rFont val="Tahoma"/>
            <family val="2"/>
          </rPr>
          <t>From ALISE:
Part II, Table II-1, Total FTE, all programs</t>
        </r>
        <r>
          <rPr>
            <sz val="8"/>
            <color indexed="81"/>
            <rFont val="Tahoma"/>
            <family val="2"/>
          </rPr>
          <t xml:space="preserve">
</t>
        </r>
      </text>
    </comment>
    <comment ref="Q23" authorId="1" shapeId="0" xr:uid="{00000000-0006-0000-1800-000008000000}">
      <text>
        <r>
          <rPr>
            <b/>
            <sz val="8"/>
            <color indexed="81"/>
            <rFont val="Tahoma"/>
            <family val="2"/>
          </rPr>
          <t>From ALISE:
Part II, Table II-3, Total, ALA only</t>
        </r>
        <r>
          <rPr>
            <sz val="8"/>
            <color indexed="81"/>
            <rFont val="Tahoma"/>
            <family val="2"/>
          </rPr>
          <t xml:space="preserve">
</t>
        </r>
      </text>
    </comment>
    <comment ref="R23" authorId="1" shapeId="0" xr:uid="{00000000-0006-0000-1800-000009000000}">
      <text>
        <r>
          <rPr>
            <b/>
            <sz val="8"/>
            <color indexed="81"/>
            <rFont val="Tahoma"/>
            <family val="2"/>
          </rPr>
          <t>From ALISE:
Part II, Table II-3, Total all other programs</t>
        </r>
        <r>
          <rPr>
            <sz val="8"/>
            <color indexed="81"/>
            <rFont val="Tahoma"/>
            <family val="2"/>
          </rPr>
          <t xml:space="preserve">
</t>
        </r>
      </text>
    </comment>
    <comment ref="S23" authorId="1" shapeId="0" xr:uid="{00000000-0006-0000-1800-00000A000000}">
      <text>
        <r>
          <rPr>
            <b/>
            <sz val="8"/>
            <color indexed="81"/>
            <rFont val="Tahoma"/>
            <family val="2"/>
          </rPr>
          <t>From ALISE:
Part IV, Line 59</t>
        </r>
        <r>
          <rPr>
            <sz val="8"/>
            <color indexed="81"/>
            <rFont val="Tahoma"/>
            <family val="2"/>
          </rPr>
          <t xml:space="preserve">
</t>
        </r>
      </text>
    </comment>
    <comment ref="U23" authorId="1" shapeId="0" xr:uid="{00000000-0006-0000-1800-00000B000000}">
      <text>
        <r>
          <rPr>
            <b/>
            <sz val="8"/>
            <color indexed="81"/>
            <rFont val="Tahoma"/>
            <family val="2"/>
          </rPr>
          <t>From ALISE:
Part IV, Line 60</t>
        </r>
        <r>
          <rPr>
            <sz val="8"/>
            <color indexed="81"/>
            <rFont val="Tahoma"/>
            <family val="2"/>
          </rPr>
          <t xml:space="preserve">
</t>
        </r>
      </text>
    </comment>
    <comment ref="V23" authorId="1" shapeId="0" xr:uid="{00000000-0006-0000-1800-00000C000000}">
      <text>
        <r>
          <rPr>
            <b/>
            <sz val="8"/>
            <color indexed="81"/>
            <rFont val="Tahoma"/>
            <family val="2"/>
          </rPr>
          <t>From ALISE:
Part IV, Total lines 61, 62, 63, 64, and 68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Tiffany Williams-Hart</author>
    <author>Karen O'Brien</author>
  </authors>
  <commentList>
    <comment ref="R6" authorId="0" shapeId="0" xr:uid="{3AEEB6B1-70FD-4D5E-9731-8FEFC65F3B5B}">
      <text>
        <r>
          <rPr>
            <b/>
            <sz val="9"/>
            <color indexed="81"/>
            <rFont val="Tahoma"/>
            <family val="2"/>
          </rPr>
          <t>Tiffany Williams-Hart:</t>
        </r>
        <r>
          <rPr>
            <sz val="9"/>
            <color indexed="81"/>
            <rFont val="Tahoma"/>
            <family val="2"/>
          </rPr>
          <t xml:space="preserve">
The significant increase in other degrees awarded is due to restructuring when the Information Science department was dissolved, and the M.S.I.S. program was absorbed into the College of Emergency Preparedness, Homeland Security and Cybersecurity. The overall enrollment of CEHC is higher than that of the college where the M.S.I.S. had originated from.</t>
        </r>
      </text>
    </comment>
    <comment ref="B21" authorId="1" shapeId="0" xr:uid="{00000000-0006-0000-0200-000001000000}">
      <text>
        <r>
          <rPr>
            <b/>
            <sz val="8"/>
            <color indexed="81"/>
            <rFont val="Tahoma"/>
            <family val="2"/>
          </rPr>
          <t>From ALISE:
Part I, Item 2, Fall</t>
        </r>
        <r>
          <rPr>
            <sz val="8"/>
            <color indexed="81"/>
            <rFont val="Tahoma"/>
            <family val="2"/>
          </rPr>
          <t xml:space="preserve">
</t>
        </r>
      </text>
    </comment>
    <comment ref="C21" authorId="1" shapeId="0" xr:uid="{00000000-0006-0000-0200-000002000000}">
      <text>
        <r>
          <rPr>
            <b/>
            <sz val="8"/>
            <color indexed="81"/>
            <rFont val="Tahoma"/>
            <family val="2"/>
          </rPr>
          <t>From ALISE:
Part I, Item 3, Fall</t>
        </r>
        <r>
          <rPr>
            <sz val="8"/>
            <color indexed="81"/>
            <rFont val="Tahoma"/>
            <family val="2"/>
          </rPr>
          <t xml:space="preserve">
</t>
        </r>
      </text>
    </comment>
    <comment ref="I21" authorId="1" shapeId="0" xr:uid="{00000000-0006-0000-0200-000003000000}">
      <text>
        <r>
          <rPr>
            <b/>
            <sz val="8"/>
            <color indexed="81"/>
            <rFont val="Tahoma"/>
            <family val="2"/>
          </rPr>
          <t>From ALISE:
Part II, Table II-1,
Total  Full-time,
ALA only</t>
        </r>
        <r>
          <rPr>
            <sz val="8"/>
            <color indexed="81"/>
            <rFont val="Tahoma"/>
            <family val="2"/>
          </rPr>
          <t xml:space="preserve">
</t>
        </r>
      </text>
    </comment>
    <comment ref="J21" authorId="1" shapeId="0" xr:uid="{00000000-0006-0000-0200-000004000000}">
      <text>
        <r>
          <rPr>
            <b/>
            <sz val="8"/>
            <color indexed="81"/>
            <rFont val="Tahoma"/>
            <family val="2"/>
          </rPr>
          <t>From ALISE:
Part II, Table II-1,
Total No. Part-time,
ALA only</t>
        </r>
        <r>
          <rPr>
            <sz val="8"/>
            <color indexed="81"/>
            <rFont val="Tahoma"/>
            <family val="2"/>
          </rPr>
          <t xml:space="preserve">
</t>
        </r>
      </text>
    </comment>
    <comment ref="L21" authorId="1" shapeId="0" xr:uid="{00000000-0006-0000-02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1" shapeId="0" xr:uid="{00000000-0006-0000-02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1" shapeId="0" xr:uid="{00000000-0006-0000-0200-000007000000}">
      <text>
        <r>
          <rPr>
            <b/>
            <sz val="8"/>
            <color indexed="81"/>
            <rFont val="Tahoma"/>
            <family val="2"/>
          </rPr>
          <t>From ALISE:
Part II, Table II-1, Total FTE, all programs</t>
        </r>
        <r>
          <rPr>
            <sz val="8"/>
            <color indexed="81"/>
            <rFont val="Tahoma"/>
            <family val="2"/>
          </rPr>
          <t xml:space="preserve">
</t>
        </r>
      </text>
    </comment>
    <comment ref="Q21" authorId="1" shapeId="0" xr:uid="{00000000-0006-0000-0200-000008000000}">
      <text>
        <r>
          <rPr>
            <b/>
            <sz val="8"/>
            <color indexed="81"/>
            <rFont val="Tahoma"/>
            <family val="2"/>
          </rPr>
          <t>From ALISE:
Part II, Table II-3, Total, ALA only</t>
        </r>
        <r>
          <rPr>
            <sz val="8"/>
            <color indexed="81"/>
            <rFont val="Tahoma"/>
            <family val="2"/>
          </rPr>
          <t xml:space="preserve">
</t>
        </r>
      </text>
    </comment>
    <comment ref="R21" authorId="1" shapeId="0" xr:uid="{00000000-0006-0000-0200-000009000000}">
      <text>
        <r>
          <rPr>
            <b/>
            <sz val="8"/>
            <color indexed="81"/>
            <rFont val="Tahoma"/>
            <family val="2"/>
          </rPr>
          <t>From ALISE:
Part II, Table II-3, Total all other programs</t>
        </r>
        <r>
          <rPr>
            <sz val="8"/>
            <color indexed="81"/>
            <rFont val="Tahoma"/>
            <family val="2"/>
          </rPr>
          <t xml:space="preserve">
</t>
        </r>
      </text>
    </comment>
    <comment ref="S21" authorId="1" shapeId="0" xr:uid="{00000000-0006-0000-0200-00000A000000}">
      <text>
        <r>
          <rPr>
            <b/>
            <sz val="8"/>
            <color indexed="81"/>
            <rFont val="Tahoma"/>
            <family val="2"/>
          </rPr>
          <t>From ALISE:
Part IV, Line 59</t>
        </r>
        <r>
          <rPr>
            <sz val="8"/>
            <color indexed="81"/>
            <rFont val="Tahoma"/>
            <family val="2"/>
          </rPr>
          <t xml:space="preserve">
</t>
        </r>
      </text>
    </comment>
    <comment ref="U21" authorId="1" shapeId="0" xr:uid="{00000000-0006-0000-0200-00000B000000}">
      <text>
        <r>
          <rPr>
            <b/>
            <sz val="8"/>
            <color indexed="81"/>
            <rFont val="Tahoma"/>
            <family val="2"/>
          </rPr>
          <t>From ALISE:
Part IV, Line 60</t>
        </r>
        <r>
          <rPr>
            <sz val="8"/>
            <color indexed="81"/>
            <rFont val="Tahoma"/>
            <family val="2"/>
          </rPr>
          <t xml:space="preserve">
</t>
        </r>
      </text>
    </comment>
    <comment ref="V21" authorId="1" shapeId="0" xr:uid="{00000000-0006-0000-0200-00000C000000}">
      <text>
        <r>
          <rPr>
            <b/>
            <sz val="8"/>
            <color indexed="81"/>
            <rFont val="Tahoma"/>
            <family val="2"/>
          </rPr>
          <t>From ALISE:
Part IV, Total lines 61, 62, 63, 64, and 68</t>
        </r>
        <r>
          <rPr>
            <sz val="8"/>
            <color indexed="81"/>
            <rFont val="Tahoma"/>
            <family val="2"/>
          </rPr>
          <t xml:space="preserve">
</t>
        </r>
      </text>
    </comment>
    <comment ref="B23" authorId="1" shapeId="0" xr:uid="{00000000-0006-0000-0200-00000D000000}">
      <text>
        <r>
          <rPr>
            <b/>
            <sz val="8"/>
            <color indexed="81"/>
            <rFont val="Tahoma"/>
            <family val="2"/>
          </rPr>
          <t>From ALISE:
Part I, Item 2, Fall</t>
        </r>
        <r>
          <rPr>
            <sz val="8"/>
            <color indexed="81"/>
            <rFont val="Tahoma"/>
            <family val="2"/>
          </rPr>
          <t xml:space="preserve">
</t>
        </r>
      </text>
    </comment>
    <comment ref="C23" authorId="1" shapeId="0" xr:uid="{00000000-0006-0000-0200-00000E000000}">
      <text>
        <r>
          <rPr>
            <b/>
            <sz val="8"/>
            <color indexed="81"/>
            <rFont val="Tahoma"/>
            <family val="2"/>
          </rPr>
          <t>From ALISE:
Part I, Item 3, Fall</t>
        </r>
        <r>
          <rPr>
            <sz val="8"/>
            <color indexed="81"/>
            <rFont val="Tahoma"/>
            <family val="2"/>
          </rPr>
          <t xml:space="preserve">
</t>
        </r>
      </text>
    </comment>
    <comment ref="I23" authorId="1" shapeId="0" xr:uid="{00000000-0006-0000-0200-00000F000000}">
      <text>
        <r>
          <rPr>
            <b/>
            <sz val="8"/>
            <color indexed="81"/>
            <rFont val="Tahoma"/>
            <family val="2"/>
          </rPr>
          <t>From ALISE:
Part II, Table II-1,
Total  Full-time,
ALA only</t>
        </r>
        <r>
          <rPr>
            <sz val="8"/>
            <color indexed="81"/>
            <rFont val="Tahoma"/>
            <family val="2"/>
          </rPr>
          <t xml:space="preserve">
</t>
        </r>
      </text>
    </comment>
    <comment ref="J23" authorId="1" shapeId="0" xr:uid="{00000000-0006-0000-0200-000010000000}">
      <text>
        <r>
          <rPr>
            <b/>
            <sz val="8"/>
            <color indexed="81"/>
            <rFont val="Tahoma"/>
            <family val="2"/>
          </rPr>
          <t>From ALISE:
Part II, Table II-1,
Total No. Part-time,
ALA only</t>
        </r>
        <r>
          <rPr>
            <sz val="8"/>
            <color indexed="81"/>
            <rFont val="Tahoma"/>
            <family val="2"/>
          </rPr>
          <t xml:space="preserve">
</t>
        </r>
      </text>
    </comment>
    <comment ref="L23" authorId="1" shapeId="0" xr:uid="{00000000-0006-0000-02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1" shapeId="0" xr:uid="{00000000-0006-0000-02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1" shapeId="0" xr:uid="{00000000-0006-0000-0200-000013000000}">
      <text>
        <r>
          <rPr>
            <b/>
            <sz val="8"/>
            <color indexed="81"/>
            <rFont val="Tahoma"/>
            <family val="2"/>
          </rPr>
          <t>From ALISE:
Part II, Table II-1, Total FTE, all programs</t>
        </r>
        <r>
          <rPr>
            <sz val="8"/>
            <color indexed="81"/>
            <rFont val="Tahoma"/>
            <family val="2"/>
          </rPr>
          <t xml:space="preserve">
</t>
        </r>
      </text>
    </comment>
    <comment ref="Q23" authorId="1" shapeId="0" xr:uid="{00000000-0006-0000-0200-000014000000}">
      <text>
        <r>
          <rPr>
            <b/>
            <sz val="8"/>
            <color indexed="81"/>
            <rFont val="Tahoma"/>
            <family val="2"/>
          </rPr>
          <t>From ALISE:
Part II, Table II-3, Total, ALA only</t>
        </r>
        <r>
          <rPr>
            <sz val="8"/>
            <color indexed="81"/>
            <rFont val="Tahoma"/>
            <family val="2"/>
          </rPr>
          <t xml:space="preserve">
</t>
        </r>
      </text>
    </comment>
    <comment ref="R23" authorId="1" shapeId="0" xr:uid="{00000000-0006-0000-0200-000015000000}">
      <text>
        <r>
          <rPr>
            <b/>
            <sz val="8"/>
            <color indexed="81"/>
            <rFont val="Tahoma"/>
            <family val="2"/>
          </rPr>
          <t>From ALISE:
Part II, Table II-3, Total all other programs</t>
        </r>
        <r>
          <rPr>
            <sz val="8"/>
            <color indexed="81"/>
            <rFont val="Tahoma"/>
            <family val="2"/>
          </rPr>
          <t xml:space="preserve">
</t>
        </r>
      </text>
    </comment>
    <comment ref="S23" authorId="1" shapeId="0" xr:uid="{00000000-0006-0000-0200-000016000000}">
      <text>
        <r>
          <rPr>
            <b/>
            <sz val="8"/>
            <color indexed="81"/>
            <rFont val="Tahoma"/>
            <family val="2"/>
          </rPr>
          <t>From ALISE:
Part IV, Line 59</t>
        </r>
        <r>
          <rPr>
            <sz val="8"/>
            <color indexed="81"/>
            <rFont val="Tahoma"/>
            <family val="2"/>
          </rPr>
          <t xml:space="preserve">
</t>
        </r>
      </text>
    </comment>
    <comment ref="U23" authorId="1" shapeId="0" xr:uid="{00000000-0006-0000-0200-000017000000}">
      <text>
        <r>
          <rPr>
            <b/>
            <sz val="8"/>
            <color indexed="81"/>
            <rFont val="Tahoma"/>
            <family val="2"/>
          </rPr>
          <t>From ALISE:
Part IV, Line 60</t>
        </r>
        <r>
          <rPr>
            <sz val="8"/>
            <color indexed="81"/>
            <rFont val="Tahoma"/>
            <family val="2"/>
          </rPr>
          <t xml:space="preserve">
</t>
        </r>
      </text>
    </comment>
    <comment ref="V23" authorId="1" shapeId="0" xr:uid="{00000000-0006-0000-02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1900-000001000000}">
      <text>
        <r>
          <rPr>
            <b/>
            <sz val="8"/>
            <color indexed="81"/>
            <rFont val="Tahoma"/>
            <family val="2"/>
          </rPr>
          <t>From ALISE:
Part I, Item 2, Fall</t>
        </r>
        <r>
          <rPr>
            <sz val="8"/>
            <color indexed="81"/>
            <rFont val="Tahoma"/>
            <family val="2"/>
          </rPr>
          <t xml:space="preserve">
</t>
        </r>
      </text>
    </comment>
    <comment ref="C21" authorId="0" shapeId="0" xr:uid="{00000000-0006-0000-1900-000002000000}">
      <text>
        <r>
          <rPr>
            <b/>
            <sz val="8"/>
            <color indexed="81"/>
            <rFont val="Tahoma"/>
            <family val="2"/>
          </rPr>
          <t>From ALISE:
Part I, Item 3, Fall</t>
        </r>
        <r>
          <rPr>
            <sz val="8"/>
            <color indexed="81"/>
            <rFont val="Tahoma"/>
            <family val="2"/>
          </rPr>
          <t xml:space="preserve">
</t>
        </r>
      </text>
    </comment>
    <comment ref="I21" authorId="0" shapeId="0" xr:uid="{00000000-0006-0000-19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19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19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19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19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19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19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1900-00000A000000}">
      <text>
        <r>
          <rPr>
            <b/>
            <sz val="8"/>
            <color indexed="81"/>
            <rFont val="Tahoma"/>
            <family val="2"/>
          </rPr>
          <t>From ALISE:
Part IV, Line 59</t>
        </r>
        <r>
          <rPr>
            <sz val="8"/>
            <color indexed="81"/>
            <rFont val="Tahoma"/>
            <family val="2"/>
          </rPr>
          <t xml:space="preserve">
</t>
        </r>
      </text>
    </comment>
    <comment ref="U21" authorId="0" shapeId="0" xr:uid="{00000000-0006-0000-1900-00000B000000}">
      <text>
        <r>
          <rPr>
            <b/>
            <sz val="8"/>
            <color indexed="81"/>
            <rFont val="Tahoma"/>
            <family val="2"/>
          </rPr>
          <t>From ALISE:
Part IV, Line 60</t>
        </r>
        <r>
          <rPr>
            <sz val="8"/>
            <color indexed="81"/>
            <rFont val="Tahoma"/>
            <family val="2"/>
          </rPr>
          <t xml:space="preserve">
</t>
        </r>
      </text>
    </comment>
    <comment ref="V21" authorId="0" shapeId="0" xr:uid="{00000000-0006-0000-19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1900-00000D000000}">
      <text>
        <r>
          <rPr>
            <b/>
            <sz val="8"/>
            <color indexed="81"/>
            <rFont val="Tahoma"/>
            <family val="2"/>
          </rPr>
          <t>From ALISE:
Part I, Item 2, Fall</t>
        </r>
        <r>
          <rPr>
            <sz val="8"/>
            <color indexed="81"/>
            <rFont val="Tahoma"/>
            <family val="2"/>
          </rPr>
          <t xml:space="preserve">
</t>
        </r>
      </text>
    </comment>
    <comment ref="C23" authorId="0" shapeId="0" xr:uid="{00000000-0006-0000-1900-00000E000000}">
      <text>
        <r>
          <rPr>
            <b/>
            <sz val="8"/>
            <color indexed="81"/>
            <rFont val="Tahoma"/>
            <family val="2"/>
          </rPr>
          <t>From ALISE:
Part I, Item 3, Fall</t>
        </r>
        <r>
          <rPr>
            <sz val="8"/>
            <color indexed="81"/>
            <rFont val="Tahoma"/>
            <family val="2"/>
          </rPr>
          <t xml:space="preserve">
</t>
        </r>
      </text>
    </comment>
    <comment ref="I23" authorId="0" shapeId="0" xr:uid="{00000000-0006-0000-19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19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1900-000011000000}">
      <text>
        <r>
          <rPr>
            <b/>
            <sz val="8"/>
            <color rgb="FF000000"/>
            <rFont val="Tahoma"/>
            <family val="2"/>
          </rPr>
          <t xml:space="preserve">From ALISE:
</t>
        </r>
        <r>
          <rPr>
            <b/>
            <sz val="8"/>
            <color rgb="FF000000"/>
            <rFont val="Tahoma"/>
            <family val="2"/>
          </rPr>
          <t xml:space="preserve">Part II, Table II-1,
</t>
        </r>
        <r>
          <rPr>
            <b/>
            <sz val="8"/>
            <color rgb="FF000000"/>
            <rFont val="Tahoma"/>
            <family val="2"/>
          </rPr>
          <t xml:space="preserve">Total Part-Time FTE, ALA only
</t>
        </r>
        <r>
          <rPr>
            <sz val="8"/>
            <color rgb="FF000000"/>
            <rFont val="Tahoma"/>
            <family val="2"/>
          </rPr>
          <t xml:space="preserve">
</t>
        </r>
      </text>
    </comment>
    <comment ref="N23" authorId="0" shapeId="0" xr:uid="{00000000-0006-0000-19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19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1900-000014000000}">
      <text>
        <r>
          <rPr>
            <b/>
            <sz val="8"/>
            <color rgb="FF000000"/>
            <rFont val="Tahoma"/>
            <family val="2"/>
          </rPr>
          <t xml:space="preserve">From ALISE:
</t>
        </r>
        <r>
          <rPr>
            <b/>
            <sz val="8"/>
            <color rgb="FF000000"/>
            <rFont val="Tahoma"/>
            <family val="2"/>
          </rPr>
          <t>Part II, Table II-3, Total, ALA only</t>
        </r>
        <r>
          <rPr>
            <sz val="8"/>
            <color rgb="FF000000"/>
            <rFont val="Tahoma"/>
            <family val="2"/>
          </rPr>
          <t xml:space="preserve">
</t>
        </r>
      </text>
    </comment>
    <comment ref="R23" authorId="0" shapeId="0" xr:uid="{00000000-0006-0000-19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1900-000016000000}">
      <text>
        <r>
          <rPr>
            <b/>
            <sz val="8"/>
            <color indexed="81"/>
            <rFont val="Tahoma"/>
            <family val="2"/>
          </rPr>
          <t>From ALISE:
Part IV, Line 59</t>
        </r>
        <r>
          <rPr>
            <sz val="8"/>
            <color indexed="81"/>
            <rFont val="Tahoma"/>
            <family val="2"/>
          </rPr>
          <t xml:space="preserve">
</t>
        </r>
      </text>
    </comment>
    <comment ref="U23" authorId="0" shapeId="0" xr:uid="{00000000-0006-0000-1900-000017000000}">
      <text>
        <r>
          <rPr>
            <b/>
            <sz val="8"/>
            <color indexed="81"/>
            <rFont val="Tahoma"/>
            <family val="2"/>
          </rPr>
          <t>From ALISE:
Part IV, Line 60</t>
        </r>
        <r>
          <rPr>
            <sz val="8"/>
            <color indexed="81"/>
            <rFont val="Tahoma"/>
            <family val="2"/>
          </rPr>
          <t xml:space="preserve">
</t>
        </r>
      </text>
    </comment>
    <comment ref="V23" authorId="0" shapeId="0" xr:uid="{00000000-0006-0000-19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1A00-000001000000}">
      <text>
        <r>
          <rPr>
            <b/>
            <sz val="8"/>
            <color indexed="81"/>
            <rFont val="Tahoma"/>
            <family val="2"/>
          </rPr>
          <t>From ALISE:
Part I, Item 2, Fall</t>
        </r>
        <r>
          <rPr>
            <sz val="8"/>
            <color indexed="81"/>
            <rFont val="Tahoma"/>
            <family val="2"/>
          </rPr>
          <t xml:space="preserve">
</t>
        </r>
      </text>
    </comment>
    <comment ref="C21" authorId="0" shapeId="0" xr:uid="{00000000-0006-0000-1A00-000002000000}">
      <text>
        <r>
          <rPr>
            <b/>
            <sz val="8"/>
            <color indexed="81"/>
            <rFont val="Tahoma"/>
            <family val="2"/>
          </rPr>
          <t>From ALISE:
Part I, Item 3, Fall</t>
        </r>
        <r>
          <rPr>
            <sz val="8"/>
            <color indexed="81"/>
            <rFont val="Tahoma"/>
            <family val="2"/>
          </rPr>
          <t xml:space="preserve">
</t>
        </r>
      </text>
    </comment>
    <comment ref="I21" authorId="0" shapeId="0" xr:uid="{00000000-0006-0000-1A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1A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1A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1A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1A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1A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1A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1A00-00000A000000}">
      <text>
        <r>
          <rPr>
            <b/>
            <sz val="8"/>
            <color indexed="81"/>
            <rFont val="Tahoma"/>
            <family val="2"/>
          </rPr>
          <t>From ALISE:
Part IV, Line 59</t>
        </r>
        <r>
          <rPr>
            <sz val="8"/>
            <color indexed="81"/>
            <rFont val="Tahoma"/>
            <family val="2"/>
          </rPr>
          <t xml:space="preserve">
</t>
        </r>
      </text>
    </comment>
    <comment ref="U21" authorId="0" shapeId="0" xr:uid="{00000000-0006-0000-1A00-00000B000000}">
      <text>
        <r>
          <rPr>
            <b/>
            <sz val="8"/>
            <color indexed="81"/>
            <rFont val="Tahoma"/>
            <family val="2"/>
          </rPr>
          <t>From ALISE:
Part IV, Line 60</t>
        </r>
        <r>
          <rPr>
            <sz val="8"/>
            <color indexed="81"/>
            <rFont val="Tahoma"/>
            <family val="2"/>
          </rPr>
          <t xml:space="preserve">
</t>
        </r>
      </text>
    </comment>
    <comment ref="V21" authorId="0" shapeId="0" xr:uid="{00000000-0006-0000-1A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1A00-00000D000000}">
      <text>
        <r>
          <rPr>
            <b/>
            <sz val="8"/>
            <color indexed="81"/>
            <rFont val="Tahoma"/>
            <family val="2"/>
          </rPr>
          <t>From ALISE:
Part I, Item 2, Fall</t>
        </r>
        <r>
          <rPr>
            <sz val="8"/>
            <color indexed="81"/>
            <rFont val="Tahoma"/>
            <family val="2"/>
          </rPr>
          <t xml:space="preserve">
</t>
        </r>
      </text>
    </comment>
    <comment ref="C23" authorId="0" shapeId="0" xr:uid="{00000000-0006-0000-1A00-00000E000000}">
      <text>
        <r>
          <rPr>
            <b/>
            <sz val="8"/>
            <color indexed="81"/>
            <rFont val="Tahoma"/>
            <family val="2"/>
          </rPr>
          <t>From ALISE:
Part I, Item 3, Fall</t>
        </r>
        <r>
          <rPr>
            <sz val="8"/>
            <color indexed="81"/>
            <rFont val="Tahoma"/>
            <family val="2"/>
          </rPr>
          <t xml:space="preserve">
</t>
        </r>
      </text>
    </comment>
    <comment ref="I23" authorId="0" shapeId="0" xr:uid="{00000000-0006-0000-1A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1A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1A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1A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1A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1A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1A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1A00-000016000000}">
      <text>
        <r>
          <rPr>
            <b/>
            <sz val="8"/>
            <color indexed="81"/>
            <rFont val="Tahoma"/>
            <family val="2"/>
          </rPr>
          <t>From ALISE:
Part IV, Line 59</t>
        </r>
        <r>
          <rPr>
            <sz val="8"/>
            <color indexed="81"/>
            <rFont val="Tahoma"/>
            <family val="2"/>
          </rPr>
          <t xml:space="preserve">
</t>
        </r>
      </text>
    </comment>
    <comment ref="U23" authorId="0" shapeId="0" xr:uid="{00000000-0006-0000-1A00-000017000000}">
      <text>
        <r>
          <rPr>
            <b/>
            <sz val="8"/>
            <color indexed="81"/>
            <rFont val="Tahoma"/>
            <family val="2"/>
          </rPr>
          <t>From ALISE:
Part IV, Line 60</t>
        </r>
        <r>
          <rPr>
            <sz val="8"/>
            <color indexed="81"/>
            <rFont val="Tahoma"/>
            <family val="2"/>
          </rPr>
          <t xml:space="preserve">
</t>
        </r>
      </text>
    </comment>
    <comment ref="V23" authorId="0" shapeId="0" xr:uid="{00000000-0006-0000-1A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
    <author>Karen O'Brien</author>
  </authors>
  <commentList>
    <comment ref="Q4" authorId="0" shapeId="0" xr:uid="{06142793-1B14-4015-B31A-53B013682BFD}">
      <text>
        <r>
          <rPr>
            <sz val="10"/>
            <color rgb="FF000000"/>
            <rFont val="Arial"/>
          </rPr>
          <t xml:space="preserve">Fall 2020 - 
Spring 2021 - 66 
Summer 2021 - 8
 </t>
        </r>
      </text>
    </comment>
    <comment ref="R4" authorId="0" shapeId="0" xr:uid="{2169A98C-FD73-4B44-962E-AAD4638FA80E}">
      <text>
        <r>
          <rPr>
            <sz val="10"/>
            <color rgb="FF000000"/>
            <rFont val="Arial"/>
          </rPr>
          <t>Ask Jeff in January after graduation clearances for Fall 2021 have gone through.
----
@madle@umd.edu i assume that these are all the other grad degrees from the ischool?
_Assigned to Morgan Marie Adle_
	-Jeff Waters
@jwaters4@umd.edu It also includes undergrad degrees awarded. Just all non- MLIS degrees. I fixed the "ALA Masters Degrees Awarded," it should be for the 2020-2021 academic year, so I included Fall 2020, Spring 2021, and Summer 2021.
	-Morgan Marie Adle
added! i excluded 2 certificate students who finished - we don't consider that a "degree" but perhaps ALA does. if that would count, the number would be 496. Thanks!
	-Jeff Waters</t>
        </r>
      </text>
    </comment>
    <comment ref="B21" authorId="1" shapeId="0" xr:uid="{00000000-0006-0000-1B00-000001000000}">
      <text>
        <r>
          <rPr>
            <b/>
            <sz val="8"/>
            <color indexed="81"/>
            <rFont val="Tahoma"/>
            <family val="2"/>
          </rPr>
          <t>From ALISE:
Part I, Item 2, Fall</t>
        </r>
        <r>
          <rPr>
            <sz val="8"/>
            <color indexed="81"/>
            <rFont val="Tahoma"/>
            <family val="2"/>
          </rPr>
          <t xml:space="preserve">
</t>
        </r>
      </text>
    </comment>
    <comment ref="C21" authorId="1" shapeId="0" xr:uid="{00000000-0006-0000-1B00-000002000000}">
      <text>
        <r>
          <rPr>
            <b/>
            <sz val="8"/>
            <color indexed="81"/>
            <rFont val="Tahoma"/>
            <family val="2"/>
          </rPr>
          <t>From ALISE:
Part I, Item 3, Fall</t>
        </r>
        <r>
          <rPr>
            <sz val="8"/>
            <color indexed="81"/>
            <rFont val="Tahoma"/>
            <family val="2"/>
          </rPr>
          <t xml:space="preserve">
</t>
        </r>
      </text>
    </comment>
    <comment ref="I21" authorId="1" shapeId="0" xr:uid="{00000000-0006-0000-1B00-000003000000}">
      <text>
        <r>
          <rPr>
            <b/>
            <sz val="8"/>
            <color indexed="81"/>
            <rFont val="Tahoma"/>
            <family val="2"/>
          </rPr>
          <t>From ALISE:
Part II, Table II-1,
Total  Full-time,
ALA only</t>
        </r>
        <r>
          <rPr>
            <sz val="8"/>
            <color indexed="81"/>
            <rFont val="Tahoma"/>
            <family val="2"/>
          </rPr>
          <t xml:space="preserve">
</t>
        </r>
      </text>
    </comment>
    <comment ref="J21" authorId="1" shapeId="0" xr:uid="{00000000-0006-0000-1B00-000004000000}">
      <text>
        <r>
          <rPr>
            <b/>
            <sz val="8"/>
            <color indexed="81"/>
            <rFont val="Tahoma"/>
            <family val="2"/>
          </rPr>
          <t>From ALISE:
Part II, Table II-1,
Total No. Part-time,
ALA only</t>
        </r>
        <r>
          <rPr>
            <sz val="8"/>
            <color indexed="81"/>
            <rFont val="Tahoma"/>
            <family val="2"/>
          </rPr>
          <t xml:space="preserve">
</t>
        </r>
      </text>
    </comment>
    <comment ref="L21" authorId="1" shapeId="0" xr:uid="{00000000-0006-0000-1B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1" shapeId="0" xr:uid="{00000000-0006-0000-1B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1" shapeId="0" xr:uid="{00000000-0006-0000-1B00-000007000000}">
      <text>
        <r>
          <rPr>
            <b/>
            <sz val="8"/>
            <color indexed="81"/>
            <rFont val="Tahoma"/>
            <family val="2"/>
          </rPr>
          <t>From ALISE:
Part II, Table II-1, Total FTE, all programs</t>
        </r>
        <r>
          <rPr>
            <sz val="8"/>
            <color indexed="81"/>
            <rFont val="Tahoma"/>
            <family val="2"/>
          </rPr>
          <t xml:space="preserve">
</t>
        </r>
      </text>
    </comment>
    <comment ref="Q21" authorId="1" shapeId="0" xr:uid="{00000000-0006-0000-1B00-000008000000}">
      <text>
        <r>
          <rPr>
            <b/>
            <sz val="8"/>
            <color indexed="81"/>
            <rFont val="Tahoma"/>
            <family val="2"/>
          </rPr>
          <t>From ALISE:
Part II, Table II-3, Total, ALA only</t>
        </r>
        <r>
          <rPr>
            <sz val="8"/>
            <color indexed="81"/>
            <rFont val="Tahoma"/>
            <family val="2"/>
          </rPr>
          <t xml:space="preserve">
</t>
        </r>
      </text>
    </comment>
    <comment ref="R21" authorId="1" shapeId="0" xr:uid="{00000000-0006-0000-1B00-000009000000}">
      <text>
        <r>
          <rPr>
            <b/>
            <sz val="8"/>
            <color indexed="81"/>
            <rFont val="Tahoma"/>
            <family val="2"/>
          </rPr>
          <t>From ALISE:
Part II, Table II-3, Total all other programs</t>
        </r>
        <r>
          <rPr>
            <sz val="8"/>
            <color indexed="81"/>
            <rFont val="Tahoma"/>
            <family val="2"/>
          </rPr>
          <t xml:space="preserve">
</t>
        </r>
      </text>
    </comment>
    <comment ref="S21" authorId="1" shapeId="0" xr:uid="{00000000-0006-0000-1B00-00000A000000}">
      <text>
        <r>
          <rPr>
            <b/>
            <sz val="8"/>
            <color indexed="81"/>
            <rFont val="Tahoma"/>
            <family val="2"/>
          </rPr>
          <t>From ALISE:
Part IV, Line 59</t>
        </r>
        <r>
          <rPr>
            <sz val="8"/>
            <color indexed="81"/>
            <rFont val="Tahoma"/>
            <family val="2"/>
          </rPr>
          <t xml:space="preserve">
</t>
        </r>
      </text>
    </comment>
    <comment ref="U21" authorId="1" shapeId="0" xr:uid="{00000000-0006-0000-1B00-00000B000000}">
      <text>
        <r>
          <rPr>
            <b/>
            <sz val="8"/>
            <color indexed="81"/>
            <rFont val="Tahoma"/>
            <family val="2"/>
          </rPr>
          <t>From ALISE:
Part IV, Line 60</t>
        </r>
        <r>
          <rPr>
            <sz val="8"/>
            <color indexed="81"/>
            <rFont val="Tahoma"/>
            <family val="2"/>
          </rPr>
          <t xml:space="preserve">
</t>
        </r>
      </text>
    </comment>
    <comment ref="V21" authorId="1" shapeId="0" xr:uid="{00000000-0006-0000-1B00-00000C000000}">
      <text>
        <r>
          <rPr>
            <b/>
            <sz val="8"/>
            <color indexed="81"/>
            <rFont val="Tahoma"/>
            <family val="2"/>
          </rPr>
          <t>From ALISE:
Part IV, Total lines 61, 62, 63, 64, and 68</t>
        </r>
        <r>
          <rPr>
            <sz val="8"/>
            <color indexed="81"/>
            <rFont val="Tahoma"/>
            <family val="2"/>
          </rPr>
          <t xml:space="preserve">
</t>
        </r>
      </text>
    </comment>
    <comment ref="B23" authorId="1" shapeId="0" xr:uid="{00000000-0006-0000-1B00-00000D000000}">
      <text>
        <r>
          <rPr>
            <b/>
            <sz val="8"/>
            <color indexed="81"/>
            <rFont val="Tahoma"/>
            <family val="2"/>
          </rPr>
          <t>From ALISE:
Part I, Item 2, Fall</t>
        </r>
        <r>
          <rPr>
            <sz val="8"/>
            <color indexed="81"/>
            <rFont val="Tahoma"/>
            <family val="2"/>
          </rPr>
          <t xml:space="preserve">
</t>
        </r>
      </text>
    </comment>
    <comment ref="C23" authorId="1" shapeId="0" xr:uid="{00000000-0006-0000-1B00-00000E000000}">
      <text>
        <r>
          <rPr>
            <b/>
            <sz val="8"/>
            <color indexed="81"/>
            <rFont val="Tahoma"/>
            <family val="2"/>
          </rPr>
          <t>From ALISE:
Part I, Item 3, Fall</t>
        </r>
        <r>
          <rPr>
            <sz val="8"/>
            <color indexed="81"/>
            <rFont val="Tahoma"/>
            <family val="2"/>
          </rPr>
          <t xml:space="preserve">
</t>
        </r>
      </text>
    </comment>
    <comment ref="I23" authorId="1" shapeId="0" xr:uid="{00000000-0006-0000-1B00-00000F000000}">
      <text>
        <r>
          <rPr>
            <b/>
            <sz val="8"/>
            <color indexed="81"/>
            <rFont val="Tahoma"/>
            <family val="2"/>
          </rPr>
          <t>From ALISE:
Part II, Table II-1,
Total  Full-time,
ALA only</t>
        </r>
        <r>
          <rPr>
            <sz val="8"/>
            <color indexed="81"/>
            <rFont val="Tahoma"/>
            <family val="2"/>
          </rPr>
          <t xml:space="preserve">
</t>
        </r>
      </text>
    </comment>
    <comment ref="J23" authorId="1" shapeId="0" xr:uid="{00000000-0006-0000-1B00-000010000000}">
      <text>
        <r>
          <rPr>
            <b/>
            <sz val="8"/>
            <color indexed="81"/>
            <rFont val="Tahoma"/>
            <family val="2"/>
          </rPr>
          <t>From ALISE:
Part II, Table II-1,
Total No. Part-time,
ALA only</t>
        </r>
        <r>
          <rPr>
            <sz val="8"/>
            <color indexed="81"/>
            <rFont val="Tahoma"/>
            <family val="2"/>
          </rPr>
          <t xml:space="preserve">
</t>
        </r>
      </text>
    </comment>
    <comment ref="L23" authorId="1" shapeId="0" xr:uid="{00000000-0006-0000-1B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1" shapeId="0" xr:uid="{00000000-0006-0000-1B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1" shapeId="0" xr:uid="{00000000-0006-0000-1B00-000013000000}">
      <text>
        <r>
          <rPr>
            <b/>
            <sz val="8"/>
            <color indexed="81"/>
            <rFont val="Tahoma"/>
            <family val="2"/>
          </rPr>
          <t>From ALISE:
Part II, Table II-1, Total FTE, all programs</t>
        </r>
        <r>
          <rPr>
            <sz val="8"/>
            <color indexed="81"/>
            <rFont val="Tahoma"/>
            <family val="2"/>
          </rPr>
          <t xml:space="preserve">
</t>
        </r>
      </text>
    </comment>
    <comment ref="Q23" authorId="1" shapeId="0" xr:uid="{00000000-0006-0000-1B00-000014000000}">
      <text>
        <r>
          <rPr>
            <b/>
            <sz val="8"/>
            <color indexed="81"/>
            <rFont val="Tahoma"/>
            <family val="2"/>
          </rPr>
          <t>From ALISE:
Part II, Table II-3, Total, ALA only</t>
        </r>
        <r>
          <rPr>
            <sz val="8"/>
            <color indexed="81"/>
            <rFont val="Tahoma"/>
            <family val="2"/>
          </rPr>
          <t xml:space="preserve">
</t>
        </r>
      </text>
    </comment>
    <comment ref="R23" authorId="1" shapeId="0" xr:uid="{00000000-0006-0000-1B00-000015000000}">
      <text>
        <r>
          <rPr>
            <b/>
            <sz val="8"/>
            <color indexed="81"/>
            <rFont val="Tahoma"/>
            <family val="2"/>
          </rPr>
          <t>From ALISE:
Part II, Table II-3, Total all other programs</t>
        </r>
        <r>
          <rPr>
            <sz val="8"/>
            <color indexed="81"/>
            <rFont val="Tahoma"/>
            <family val="2"/>
          </rPr>
          <t xml:space="preserve">
</t>
        </r>
      </text>
    </comment>
    <comment ref="S23" authorId="1" shapeId="0" xr:uid="{00000000-0006-0000-1B00-000016000000}">
      <text>
        <r>
          <rPr>
            <b/>
            <sz val="8"/>
            <color indexed="81"/>
            <rFont val="Tahoma"/>
            <family val="2"/>
          </rPr>
          <t>From ALISE:
Part IV, Line 59</t>
        </r>
        <r>
          <rPr>
            <sz val="8"/>
            <color indexed="81"/>
            <rFont val="Tahoma"/>
            <family val="2"/>
          </rPr>
          <t xml:space="preserve">
</t>
        </r>
      </text>
    </comment>
    <comment ref="U23" authorId="1" shapeId="0" xr:uid="{00000000-0006-0000-1B00-000017000000}">
      <text>
        <r>
          <rPr>
            <b/>
            <sz val="8"/>
            <color indexed="81"/>
            <rFont val="Tahoma"/>
            <family val="2"/>
          </rPr>
          <t>From ALISE:
Part IV, Line 60</t>
        </r>
        <r>
          <rPr>
            <sz val="8"/>
            <color indexed="81"/>
            <rFont val="Tahoma"/>
            <family val="2"/>
          </rPr>
          <t xml:space="preserve">
</t>
        </r>
      </text>
    </comment>
    <comment ref="V23" authorId="1" shapeId="0" xr:uid="{00000000-0006-0000-1B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1D00-000001000000}">
      <text>
        <r>
          <rPr>
            <b/>
            <sz val="8"/>
            <color indexed="81"/>
            <rFont val="Tahoma"/>
            <family val="2"/>
          </rPr>
          <t>From ALISE:
Part I, Item 2, Fall</t>
        </r>
        <r>
          <rPr>
            <sz val="8"/>
            <color indexed="81"/>
            <rFont val="Tahoma"/>
            <family val="2"/>
          </rPr>
          <t xml:space="preserve">
</t>
        </r>
      </text>
    </comment>
    <comment ref="C21" authorId="0" shapeId="0" xr:uid="{00000000-0006-0000-1D00-000002000000}">
      <text>
        <r>
          <rPr>
            <b/>
            <sz val="8"/>
            <color indexed="81"/>
            <rFont val="Tahoma"/>
            <family val="2"/>
          </rPr>
          <t>From ALISE:
Part I, Item 3, Fall</t>
        </r>
        <r>
          <rPr>
            <sz val="8"/>
            <color indexed="81"/>
            <rFont val="Tahoma"/>
            <family val="2"/>
          </rPr>
          <t xml:space="preserve">
</t>
        </r>
      </text>
    </comment>
    <comment ref="I21" authorId="0" shapeId="0" xr:uid="{00000000-0006-0000-1D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1D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1D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1D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1D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1D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1D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1D00-00000A000000}">
      <text>
        <r>
          <rPr>
            <b/>
            <sz val="8"/>
            <color indexed="81"/>
            <rFont val="Tahoma"/>
            <family val="2"/>
          </rPr>
          <t>From ALISE:
Part IV, Line 59</t>
        </r>
        <r>
          <rPr>
            <sz val="8"/>
            <color indexed="81"/>
            <rFont val="Tahoma"/>
            <family val="2"/>
          </rPr>
          <t xml:space="preserve">
</t>
        </r>
      </text>
    </comment>
    <comment ref="U21" authorId="0" shapeId="0" xr:uid="{00000000-0006-0000-1D00-00000B000000}">
      <text>
        <r>
          <rPr>
            <b/>
            <sz val="8"/>
            <color indexed="81"/>
            <rFont val="Tahoma"/>
            <family val="2"/>
          </rPr>
          <t>From ALISE:
Part IV, Line 60</t>
        </r>
        <r>
          <rPr>
            <sz val="8"/>
            <color indexed="81"/>
            <rFont val="Tahoma"/>
            <family val="2"/>
          </rPr>
          <t xml:space="preserve">
</t>
        </r>
      </text>
    </comment>
    <comment ref="V21" authorId="0" shapeId="0" xr:uid="{00000000-0006-0000-1D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1D00-00000D000000}">
      <text>
        <r>
          <rPr>
            <b/>
            <sz val="8"/>
            <color indexed="81"/>
            <rFont val="Tahoma"/>
            <family val="2"/>
          </rPr>
          <t>From ALISE:
Part I, Item 2, Fall</t>
        </r>
        <r>
          <rPr>
            <sz val="8"/>
            <color indexed="81"/>
            <rFont val="Tahoma"/>
            <family val="2"/>
          </rPr>
          <t xml:space="preserve">
</t>
        </r>
      </text>
    </comment>
    <comment ref="C23" authorId="0" shapeId="0" xr:uid="{00000000-0006-0000-1D00-00000E000000}">
      <text>
        <r>
          <rPr>
            <b/>
            <sz val="8"/>
            <color indexed="81"/>
            <rFont val="Tahoma"/>
            <family val="2"/>
          </rPr>
          <t>From ALISE:
Part I, Item 3, Fall</t>
        </r>
        <r>
          <rPr>
            <sz val="8"/>
            <color indexed="81"/>
            <rFont val="Tahoma"/>
            <family val="2"/>
          </rPr>
          <t xml:space="preserve">
</t>
        </r>
      </text>
    </comment>
    <comment ref="I23" authorId="0" shapeId="0" xr:uid="{00000000-0006-0000-1D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1D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1D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1D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1D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1D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1D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1D00-000016000000}">
      <text>
        <r>
          <rPr>
            <b/>
            <sz val="8"/>
            <color indexed="81"/>
            <rFont val="Tahoma"/>
            <family val="2"/>
          </rPr>
          <t>From ALISE:
Part IV, Line 59</t>
        </r>
        <r>
          <rPr>
            <sz val="8"/>
            <color indexed="81"/>
            <rFont val="Tahoma"/>
            <family val="2"/>
          </rPr>
          <t xml:space="preserve">
</t>
        </r>
      </text>
    </comment>
    <comment ref="U23" authorId="0" shapeId="0" xr:uid="{00000000-0006-0000-1D00-000017000000}">
      <text>
        <r>
          <rPr>
            <b/>
            <sz val="8"/>
            <color indexed="81"/>
            <rFont val="Tahoma"/>
            <family val="2"/>
          </rPr>
          <t>From ALISE:
Part IV, Line 60</t>
        </r>
        <r>
          <rPr>
            <sz val="8"/>
            <color indexed="81"/>
            <rFont val="Tahoma"/>
            <family val="2"/>
          </rPr>
          <t xml:space="preserve">
</t>
        </r>
      </text>
    </comment>
    <comment ref="V23" authorId="0" shapeId="0" xr:uid="{00000000-0006-0000-1D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2" authorId="0" shapeId="0" xr:uid="{00000000-0006-0000-1E00-000001000000}">
      <text>
        <r>
          <rPr>
            <b/>
            <sz val="8"/>
            <color indexed="81"/>
            <rFont val="Tahoma"/>
            <family val="2"/>
          </rPr>
          <t>From ALISE:
Part I, Item 2, Fall</t>
        </r>
        <r>
          <rPr>
            <sz val="8"/>
            <color indexed="81"/>
            <rFont val="Tahoma"/>
            <family val="2"/>
          </rPr>
          <t xml:space="preserve">
</t>
        </r>
      </text>
    </comment>
    <comment ref="C22" authorId="0" shapeId="0" xr:uid="{00000000-0006-0000-1E00-000002000000}">
      <text>
        <r>
          <rPr>
            <b/>
            <sz val="8"/>
            <color indexed="81"/>
            <rFont val="Tahoma"/>
            <family val="2"/>
          </rPr>
          <t>From ALISE:
Part I, Item 3, Fall</t>
        </r>
        <r>
          <rPr>
            <sz val="8"/>
            <color indexed="81"/>
            <rFont val="Tahoma"/>
            <family val="2"/>
          </rPr>
          <t xml:space="preserve">
</t>
        </r>
      </text>
    </comment>
    <comment ref="I22" authorId="0" shapeId="0" xr:uid="{00000000-0006-0000-1E00-000003000000}">
      <text>
        <r>
          <rPr>
            <b/>
            <sz val="8"/>
            <color indexed="81"/>
            <rFont val="Tahoma"/>
            <family val="2"/>
          </rPr>
          <t>From ALISE:
Part II, Table II-1,
Total  Full-time,
ALA only</t>
        </r>
        <r>
          <rPr>
            <sz val="8"/>
            <color indexed="81"/>
            <rFont val="Tahoma"/>
            <family val="2"/>
          </rPr>
          <t xml:space="preserve">
</t>
        </r>
      </text>
    </comment>
    <comment ref="J22" authorId="0" shapeId="0" xr:uid="{00000000-0006-0000-1E00-000004000000}">
      <text>
        <r>
          <rPr>
            <b/>
            <sz val="8"/>
            <color indexed="81"/>
            <rFont val="Tahoma"/>
            <family val="2"/>
          </rPr>
          <t>From ALISE:
Part II, Table II-1,
Total No. Part-time,
ALA only</t>
        </r>
        <r>
          <rPr>
            <sz val="8"/>
            <color indexed="81"/>
            <rFont val="Tahoma"/>
            <family val="2"/>
          </rPr>
          <t xml:space="preserve">
</t>
        </r>
      </text>
    </comment>
    <comment ref="L22" authorId="0" shapeId="0" xr:uid="{00000000-0006-0000-1E00-000005000000}">
      <text>
        <r>
          <rPr>
            <b/>
            <sz val="8"/>
            <color indexed="81"/>
            <rFont val="Tahoma"/>
            <family val="2"/>
          </rPr>
          <t xml:space="preserve">From ALISE:
Part II, Table II-1,
Total Part-Time FTE, ALA only
</t>
        </r>
        <r>
          <rPr>
            <sz val="8"/>
            <color indexed="81"/>
            <rFont val="Tahoma"/>
            <family val="2"/>
          </rPr>
          <t xml:space="preserve">
</t>
        </r>
      </text>
    </comment>
    <comment ref="N22" authorId="0" shapeId="0" xr:uid="{00000000-0006-0000-1E00-000006000000}">
      <text>
        <r>
          <rPr>
            <b/>
            <sz val="8"/>
            <color indexed="81"/>
            <rFont val="Tahoma"/>
            <family val="2"/>
          </rPr>
          <t xml:space="preserve">From ALISE:
Part II, Table 11-4, Total AI, AP, B, and H,
ALA only  </t>
        </r>
        <r>
          <rPr>
            <sz val="8"/>
            <color indexed="81"/>
            <rFont val="Tahoma"/>
            <family val="2"/>
          </rPr>
          <t xml:space="preserve">
</t>
        </r>
      </text>
    </comment>
    <comment ref="O22" authorId="0" shapeId="0" xr:uid="{00000000-0006-0000-1E00-000007000000}">
      <text>
        <r>
          <rPr>
            <b/>
            <sz val="8"/>
            <color indexed="81"/>
            <rFont val="Tahoma"/>
            <family val="2"/>
          </rPr>
          <t>From ALISE:
Part II, Table II-1, Total FTE, all programs</t>
        </r>
        <r>
          <rPr>
            <sz val="8"/>
            <color indexed="81"/>
            <rFont val="Tahoma"/>
            <family val="2"/>
          </rPr>
          <t xml:space="preserve">
</t>
        </r>
      </text>
    </comment>
    <comment ref="Q22" authorId="0" shapeId="0" xr:uid="{00000000-0006-0000-1E00-000008000000}">
      <text>
        <r>
          <rPr>
            <b/>
            <sz val="8"/>
            <color indexed="81"/>
            <rFont val="Tahoma"/>
            <family val="2"/>
          </rPr>
          <t>From ALISE:
Part II, Table II-3, Total, ALA only</t>
        </r>
        <r>
          <rPr>
            <sz val="8"/>
            <color indexed="81"/>
            <rFont val="Tahoma"/>
            <family val="2"/>
          </rPr>
          <t xml:space="preserve">
</t>
        </r>
      </text>
    </comment>
    <comment ref="R22" authorId="0" shapeId="0" xr:uid="{00000000-0006-0000-1E00-000009000000}">
      <text>
        <r>
          <rPr>
            <b/>
            <sz val="8"/>
            <color indexed="81"/>
            <rFont val="Tahoma"/>
            <family val="2"/>
          </rPr>
          <t>From ALISE:
Part II, Table II-3, Total all other programs</t>
        </r>
        <r>
          <rPr>
            <sz val="8"/>
            <color indexed="81"/>
            <rFont val="Tahoma"/>
            <family val="2"/>
          </rPr>
          <t xml:space="preserve">
</t>
        </r>
      </text>
    </comment>
    <comment ref="S22" authorId="0" shapeId="0" xr:uid="{00000000-0006-0000-1E00-00000A000000}">
      <text>
        <r>
          <rPr>
            <b/>
            <sz val="8"/>
            <color indexed="81"/>
            <rFont val="Tahoma"/>
            <family val="2"/>
          </rPr>
          <t>From ALISE:
Part IV, Line 59</t>
        </r>
        <r>
          <rPr>
            <sz val="8"/>
            <color indexed="81"/>
            <rFont val="Tahoma"/>
            <family val="2"/>
          </rPr>
          <t xml:space="preserve">
</t>
        </r>
      </text>
    </comment>
    <comment ref="U22" authorId="0" shapeId="0" xr:uid="{00000000-0006-0000-1E00-00000B000000}">
      <text>
        <r>
          <rPr>
            <b/>
            <sz val="8"/>
            <color indexed="81"/>
            <rFont val="Tahoma"/>
            <family val="2"/>
          </rPr>
          <t>From ALISE:
Part IV, Line 60</t>
        </r>
        <r>
          <rPr>
            <sz val="8"/>
            <color indexed="81"/>
            <rFont val="Tahoma"/>
            <family val="2"/>
          </rPr>
          <t xml:space="preserve">
</t>
        </r>
      </text>
    </comment>
    <comment ref="V22" authorId="0" shapeId="0" xr:uid="{00000000-0006-0000-1E00-00000C000000}">
      <text>
        <r>
          <rPr>
            <b/>
            <sz val="8"/>
            <color indexed="81"/>
            <rFont val="Tahoma"/>
            <family val="2"/>
          </rPr>
          <t>From ALISE:
Part IV, Total lines 61, 62, 63, 64, and 68</t>
        </r>
        <r>
          <rPr>
            <sz val="8"/>
            <color indexed="81"/>
            <rFont val="Tahoma"/>
            <family val="2"/>
          </rPr>
          <t xml:space="preserve">
</t>
        </r>
      </text>
    </comment>
    <comment ref="B24" authorId="0" shapeId="0" xr:uid="{00000000-0006-0000-1E00-00000D000000}">
      <text>
        <r>
          <rPr>
            <b/>
            <sz val="8"/>
            <color indexed="81"/>
            <rFont val="Tahoma"/>
            <family val="2"/>
          </rPr>
          <t>From ALISE:
Part I, Item 2, Fall</t>
        </r>
        <r>
          <rPr>
            <sz val="8"/>
            <color indexed="81"/>
            <rFont val="Tahoma"/>
            <family val="2"/>
          </rPr>
          <t xml:space="preserve">
</t>
        </r>
      </text>
    </comment>
    <comment ref="C24" authorId="0" shapeId="0" xr:uid="{00000000-0006-0000-1E00-00000E000000}">
      <text>
        <r>
          <rPr>
            <b/>
            <sz val="8"/>
            <color indexed="81"/>
            <rFont val="Tahoma"/>
            <family val="2"/>
          </rPr>
          <t>From ALISE:
Part I, Item 3, Fall</t>
        </r>
        <r>
          <rPr>
            <sz val="8"/>
            <color indexed="81"/>
            <rFont val="Tahoma"/>
            <family val="2"/>
          </rPr>
          <t xml:space="preserve">
</t>
        </r>
      </text>
    </comment>
    <comment ref="I24" authorId="0" shapeId="0" xr:uid="{00000000-0006-0000-1E00-00000F000000}">
      <text>
        <r>
          <rPr>
            <b/>
            <sz val="8"/>
            <color indexed="81"/>
            <rFont val="Tahoma"/>
            <family val="2"/>
          </rPr>
          <t>From ALISE:
Part II, Table II-1,
Total  Full-time,
ALA only</t>
        </r>
        <r>
          <rPr>
            <sz val="8"/>
            <color indexed="81"/>
            <rFont val="Tahoma"/>
            <family val="2"/>
          </rPr>
          <t xml:space="preserve">
</t>
        </r>
      </text>
    </comment>
    <comment ref="J24" authorId="0" shapeId="0" xr:uid="{00000000-0006-0000-1E00-000010000000}">
      <text>
        <r>
          <rPr>
            <b/>
            <sz val="8"/>
            <color indexed="81"/>
            <rFont val="Tahoma"/>
            <family val="2"/>
          </rPr>
          <t>From ALISE:
Part II, Table II-1,
Total No. Part-time,
ALA only</t>
        </r>
        <r>
          <rPr>
            <sz val="8"/>
            <color indexed="81"/>
            <rFont val="Tahoma"/>
            <family val="2"/>
          </rPr>
          <t xml:space="preserve">
</t>
        </r>
      </text>
    </comment>
    <comment ref="L24" authorId="0" shapeId="0" xr:uid="{00000000-0006-0000-1E00-000011000000}">
      <text>
        <r>
          <rPr>
            <b/>
            <sz val="8"/>
            <color indexed="81"/>
            <rFont val="Tahoma"/>
            <family val="2"/>
          </rPr>
          <t xml:space="preserve">From ALISE:
Part II, Table II-1,
Total Part-Time FTE, ALA only
</t>
        </r>
        <r>
          <rPr>
            <sz val="8"/>
            <color indexed="81"/>
            <rFont val="Tahoma"/>
            <family val="2"/>
          </rPr>
          <t xml:space="preserve">
</t>
        </r>
      </text>
    </comment>
    <comment ref="N24" authorId="0" shapeId="0" xr:uid="{00000000-0006-0000-1E00-000012000000}">
      <text>
        <r>
          <rPr>
            <b/>
            <sz val="8"/>
            <color indexed="81"/>
            <rFont val="Tahoma"/>
            <family val="2"/>
          </rPr>
          <t xml:space="preserve">From ALISE:
Part II, Table 11-4, Total AI, AP, B, and H,
ALA only  </t>
        </r>
        <r>
          <rPr>
            <sz val="8"/>
            <color indexed="81"/>
            <rFont val="Tahoma"/>
            <family val="2"/>
          </rPr>
          <t xml:space="preserve">
</t>
        </r>
      </text>
    </comment>
    <comment ref="O24" authorId="0" shapeId="0" xr:uid="{00000000-0006-0000-1E00-000013000000}">
      <text>
        <r>
          <rPr>
            <b/>
            <sz val="8"/>
            <color indexed="81"/>
            <rFont val="Tahoma"/>
            <family val="2"/>
          </rPr>
          <t>From ALISE:
Part II, Table II-1, Total FTE, all programs</t>
        </r>
        <r>
          <rPr>
            <sz val="8"/>
            <color indexed="81"/>
            <rFont val="Tahoma"/>
            <family val="2"/>
          </rPr>
          <t xml:space="preserve">
</t>
        </r>
      </text>
    </comment>
    <comment ref="Q24" authorId="0" shapeId="0" xr:uid="{00000000-0006-0000-1E00-000014000000}">
      <text>
        <r>
          <rPr>
            <b/>
            <sz val="8"/>
            <color indexed="81"/>
            <rFont val="Tahoma"/>
            <family val="2"/>
          </rPr>
          <t>From ALISE:
Part II, Table II-3, Total, ALA only</t>
        </r>
        <r>
          <rPr>
            <sz val="8"/>
            <color indexed="81"/>
            <rFont val="Tahoma"/>
            <family val="2"/>
          </rPr>
          <t xml:space="preserve">
</t>
        </r>
      </text>
    </comment>
    <comment ref="R24" authorId="0" shapeId="0" xr:uid="{00000000-0006-0000-1E00-000015000000}">
      <text>
        <r>
          <rPr>
            <b/>
            <sz val="8"/>
            <color indexed="81"/>
            <rFont val="Tahoma"/>
            <family val="2"/>
          </rPr>
          <t>From ALISE:
Part II, Table II-3, Total all other programs</t>
        </r>
        <r>
          <rPr>
            <sz val="8"/>
            <color indexed="81"/>
            <rFont val="Tahoma"/>
            <family val="2"/>
          </rPr>
          <t xml:space="preserve">
</t>
        </r>
      </text>
    </comment>
    <comment ref="S24" authorId="0" shapeId="0" xr:uid="{00000000-0006-0000-1E00-000016000000}">
      <text>
        <r>
          <rPr>
            <b/>
            <sz val="8"/>
            <color indexed="81"/>
            <rFont val="Tahoma"/>
            <family val="2"/>
          </rPr>
          <t>From ALISE:
Part IV, Line 59</t>
        </r>
        <r>
          <rPr>
            <sz val="8"/>
            <color indexed="81"/>
            <rFont val="Tahoma"/>
            <family val="2"/>
          </rPr>
          <t xml:space="preserve">
</t>
        </r>
      </text>
    </comment>
    <comment ref="U24" authorId="0" shapeId="0" xr:uid="{00000000-0006-0000-1E00-000017000000}">
      <text>
        <r>
          <rPr>
            <b/>
            <sz val="8"/>
            <color indexed="81"/>
            <rFont val="Tahoma"/>
            <family val="2"/>
          </rPr>
          <t>From ALISE:
Part IV, Line 60</t>
        </r>
        <r>
          <rPr>
            <sz val="8"/>
            <color indexed="81"/>
            <rFont val="Tahoma"/>
            <family val="2"/>
          </rPr>
          <t xml:space="preserve">
</t>
        </r>
      </text>
    </comment>
    <comment ref="V24" authorId="0" shapeId="0" xr:uid="{00000000-0006-0000-1E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O20" authorId="0" shapeId="0" xr:uid="{00000000-0006-0000-1F00-000001000000}">
      <text>
        <r>
          <rPr>
            <b/>
            <sz val="8"/>
            <color indexed="81"/>
            <rFont val="Tahoma"/>
            <family val="2"/>
          </rPr>
          <t>From ALISE:
Part II, Table II-1, Total FTE, all programs</t>
        </r>
        <r>
          <rPr>
            <sz val="8"/>
            <color indexed="81"/>
            <rFont val="Tahoma"/>
            <family val="2"/>
          </rPr>
          <t xml:space="preserve">
</t>
        </r>
      </text>
    </comment>
    <comment ref="B21" authorId="0" shapeId="0" xr:uid="{00000000-0006-0000-1F00-000002000000}">
      <text>
        <r>
          <rPr>
            <b/>
            <sz val="8"/>
            <color indexed="81"/>
            <rFont val="Tahoma"/>
            <family val="2"/>
          </rPr>
          <t>From ALISE:
Part I, Item 2, Fall</t>
        </r>
        <r>
          <rPr>
            <sz val="8"/>
            <color indexed="81"/>
            <rFont val="Tahoma"/>
            <family val="2"/>
          </rPr>
          <t xml:space="preserve">
</t>
        </r>
      </text>
    </comment>
    <comment ref="C21" authorId="0" shapeId="0" xr:uid="{00000000-0006-0000-1F00-000003000000}">
      <text>
        <r>
          <rPr>
            <b/>
            <sz val="8"/>
            <color indexed="81"/>
            <rFont val="Tahoma"/>
            <family val="2"/>
          </rPr>
          <t>From ALISE:
Part I, Item 3, Fall</t>
        </r>
        <r>
          <rPr>
            <sz val="8"/>
            <color indexed="81"/>
            <rFont val="Tahoma"/>
            <family val="2"/>
          </rPr>
          <t xml:space="preserve">
</t>
        </r>
      </text>
    </comment>
    <comment ref="I21" authorId="0" shapeId="0" xr:uid="{00000000-0006-0000-1F00-000004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1F00-000005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1F00-000006000000}">
      <text>
        <r>
          <rPr>
            <b/>
            <sz val="8"/>
            <color indexed="81"/>
            <rFont val="Tahoma"/>
            <family val="2"/>
          </rPr>
          <t xml:space="preserve">From ALISE:
Part II, Table II-1,
Total Part-Time FTE, ALA only
</t>
        </r>
        <r>
          <rPr>
            <sz val="8"/>
            <color indexed="81"/>
            <rFont val="Tahoma"/>
            <family val="2"/>
          </rPr>
          <t xml:space="preserve">
</t>
        </r>
      </text>
    </comment>
    <comment ref="O21" authorId="0" shapeId="0" xr:uid="{00000000-0006-0000-1F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1F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1F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1F00-00000A000000}">
      <text>
        <r>
          <rPr>
            <b/>
            <sz val="8"/>
            <color indexed="81"/>
            <rFont val="Tahoma"/>
            <family val="2"/>
          </rPr>
          <t>From ALISE:
Part IV, Line 59</t>
        </r>
        <r>
          <rPr>
            <sz val="8"/>
            <color indexed="81"/>
            <rFont val="Tahoma"/>
            <family val="2"/>
          </rPr>
          <t xml:space="preserve">
</t>
        </r>
      </text>
    </comment>
    <comment ref="U21" authorId="0" shapeId="0" xr:uid="{00000000-0006-0000-1F00-00000B000000}">
      <text>
        <r>
          <rPr>
            <b/>
            <sz val="8"/>
            <color indexed="81"/>
            <rFont val="Tahoma"/>
            <family val="2"/>
          </rPr>
          <t>From ALISE:
Part IV, Line 60</t>
        </r>
        <r>
          <rPr>
            <sz val="8"/>
            <color indexed="81"/>
            <rFont val="Tahoma"/>
            <family val="2"/>
          </rPr>
          <t xml:space="preserve">
</t>
        </r>
      </text>
    </comment>
    <comment ref="V21" authorId="0" shapeId="0" xr:uid="{00000000-0006-0000-1F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1F00-00000D000000}">
      <text>
        <r>
          <rPr>
            <b/>
            <sz val="8"/>
            <color indexed="81"/>
            <rFont val="Tahoma"/>
            <family val="2"/>
          </rPr>
          <t>From ALISE:
Part I, Item 2, Fall</t>
        </r>
        <r>
          <rPr>
            <sz val="8"/>
            <color indexed="81"/>
            <rFont val="Tahoma"/>
            <family val="2"/>
          </rPr>
          <t xml:space="preserve">
</t>
        </r>
      </text>
    </comment>
    <comment ref="C23" authorId="0" shapeId="0" xr:uid="{00000000-0006-0000-1F00-00000E000000}">
      <text>
        <r>
          <rPr>
            <b/>
            <sz val="8"/>
            <color indexed="81"/>
            <rFont val="Tahoma"/>
            <family val="2"/>
          </rPr>
          <t>From ALISE:
Part I, Item 3, Fall</t>
        </r>
        <r>
          <rPr>
            <sz val="8"/>
            <color indexed="81"/>
            <rFont val="Tahoma"/>
            <family val="2"/>
          </rPr>
          <t xml:space="preserve">
</t>
        </r>
      </text>
    </comment>
    <comment ref="I23" authorId="0" shapeId="0" xr:uid="{00000000-0006-0000-1F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1F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1F00-000011000000}">
      <text>
        <r>
          <rPr>
            <b/>
            <sz val="8"/>
            <color indexed="81"/>
            <rFont val="Tahoma"/>
            <family val="2"/>
          </rPr>
          <t xml:space="preserve">From ALISE:
Part II, Table II-1,
Total Part-Time FTE, ALA only
</t>
        </r>
        <r>
          <rPr>
            <sz val="8"/>
            <color indexed="81"/>
            <rFont val="Tahoma"/>
            <family val="2"/>
          </rPr>
          <t xml:space="preserve">
</t>
        </r>
      </text>
    </comment>
    <comment ref="O23" authorId="0" shapeId="0" xr:uid="{00000000-0006-0000-1F00-000012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1F00-000013000000}">
      <text>
        <r>
          <rPr>
            <b/>
            <sz val="8"/>
            <color indexed="81"/>
            <rFont val="Tahoma"/>
            <family val="2"/>
          </rPr>
          <t>From ALISE:
Part II, Table II-3, Total, ALA only</t>
        </r>
        <r>
          <rPr>
            <sz val="8"/>
            <color indexed="81"/>
            <rFont val="Tahoma"/>
            <family val="2"/>
          </rPr>
          <t xml:space="preserve">
</t>
        </r>
      </text>
    </comment>
    <comment ref="R23" authorId="0" shapeId="0" xr:uid="{00000000-0006-0000-1F00-000014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1F00-000015000000}">
      <text>
        <r>
          <rPr>
            <b/>
            <sz val="8"/>
            <color indexed="81"/>
            <rFont val="Tahoma"/>
            <family val="2"/>
          </rPr>
          <t>From ALISE:
Part IV, Line 59</t>
        </r>
        <r>
          <rPr>
            <sz val="8"/>
            <color indexed="81"/>
            <rFont val="Tahoma"/>
            <family val="2"/>
          </rPr>
          <t xml:space="preserve">
</t>
        </r>
      </text>
    </comment>
    <comment ref="U23" authorId="0" shapeId="0" xr:uid="{00000000-0006-0000-1F00-000016000000}">
      <text>
        <r>
          <rPr>
            <b/>
            <sz val="8"/>
            <color indexed="81"/>
            <rFont val="Tahoma"/>
            <family val="2"/>
          </rPr>
          <t>From ALISE:
Part IV, Line 60</t>
        </r>
        <r>
          <rPr>
            <sz val="8"/>
            <color indexed="81"/>
            <rFont val="Tahoma"/>
            <family val="2"/>
          </rPr>
          <t xml:space="preserve">
</t>
        </r>
      </text>
    </comment>
    <comment ref="V23" authorId="0" shapeId="0" xr:uid="{00000000-0006-0000-1F00-000017000000}">
      <text>
        <r>
          <rPr>
            <b/>
            <sz val="8"/>
            <color indexed="81"/>
            <rFont val="Tahoma"/>
            <family val="2"/>
          </rPr>
          <t>From ALISE:
Part IV, Total lines 61, 62, 63, 64, and 68</t>
        </r>
        <r>
          <rPr>
            <sz val="8"/>
            <color indexed="81"/>
            <rFont val="Tahoma"/>
            <family val="2"/>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3" authorId="0" shapeId="0" xr:uid="{39C9C5A3-1A53-45C7-9B33-491AD0A62E44}">
      <text>
        <r>
          <rPr>
            <b/>
            <sz val="8"/>
            <color indexed="81"/>
            <rFont val="Tahoma"/>
            <family val="2"/>
          </rPr>
          <t>From ALISE:
Part I, Item 2, Fall</t>
        </r>
        <r>
          <rPr>
            <sz val="8"/>
            <color indexed="81"/>
            <rFont val="Tahoma"/>
            <family val="2"/>
          </rPr>
          <t xml:space="preserve">
</t>
        </r>
      </text>
    </comment>
    <comment ref="C23" authorId="0" shapeId="0" xr:uid="{477D041E-4206-4F6B-B47F-738916E9877C}">
      <text>
        <r>
          <rPr>
            <b/>
            <sz val="8"/>
            <color indexed="81"/>
            <rFont val="Tahoma"/>
            <family val="2"/>
          </rPr>
          <t>From ALISE:
Part I, Item 3, Fall</t>
        </r>
        <r>
          <rPr>
            <sz val="8"/>
            <color indexed="81"/>
            <rFont val="Tahoma"/>
            <family val="2"/>
          </rPr>
          <t xml:space="preserve">
</t>
        </r>
      </text>
    </comment>
    <comment ref="I23" authorId="0" shapeId="0" xr:uid="{F680E236-83EC-46F8-97DB-FFA023062BB9}">
      <text>
        <r>
          <rPr>
            <b/>
            <sz val="8"/>
            <color indexed="81"/>
            <rFont val="Tahoma"/>
            <family val="2"/>
          </rPr>
          <t>From ALISE:
Part II, Table II-1,
Total  Full-time,
ALA only</t>
        </r>
        <r>
          <rPr>
            <sz val="8"/>
            <color indexed="81"/>
            <rFont val="Tahoma"/>
            <family val="2"/>
          </rPr>
          <t xml:space="preserve">
</t>
        </r>
      </text>
    </comment>
    <comment ref="J23" authorId="0" shapeId="0" xr:uid="{75003D90-5906-4B70-B212-0FFABD97EFD1}">
      <text>
        <r>
          <rPr>
            <b/>
            <sz val="8"/>
            <color indexed="81"/>
            <rFont val="Tahoma"/>
            <family val="2"/>
          </rPr>
          <t>From ALISE:
Part II, Table II-1,
Total No. Part-time,
ALA only</t>
        </r>
        <r>
          <rPr>
            <sz val="8"/>
            <color indexed="81"/>
            <rFont val="Tahoma"/>
            <family val="2"/>
          </rPr>
          <t xml:space="preserve">
</t>
        </r>
      </text>
    </comment>
    <comment ref="L23" authorId="0" shapeId="0" xr:uid="{CCBA9519-1380-4813-A80B-8CC81B809548}">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E332B3C3-1C21-49BC-911C-88EFD9260B9B}">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C04A0FD0-3C8B-44C3-98FC-865B83AC212B}">
      <text>
        <r>
          <rPr>
            <b/>
            <sz val="8"/>
            <color indexed="81"/>
            <rFont val="Tahoma"/>
            <family val="2"/>
          </rPr>
          <t>From ALISE:
Part II, Table II-1, Total FTE, all programs</t>
        </r>
        <r>
          <rPr>
            <sz val="8"/>
            <color indexed="81"/>
            <rFont val="Tahoma"/>
            <family val="2"/>
          </rPr>
          <t xml:space="preserve">
</t>
        </r>
      </text>
    </comment>
    <comment ref="Q23" authorId="0" shapeId="0" xr:uid="{6EBB53D2-9A96-4959-B83E-1B291B2ECBF1}">
      <text>
        <r>
          <rPr>
            <b/>
            <sz val="8"/>
            <color indexed="81"/>
            <rFont val="Tahoma"/>
            <family val="2"/>
          </rPr>
          <t>From ALISE:
Part II, Table II-3, Total, ALA only</t>
        </r>
        <r>
          <rPr>
            <sz val="8"/>
            <color indexed="81"/>
            <rFont val="Tahoma"/>
            <family val="2"/>
          </rPr>
          <t xml:space="preserve">
</t>
        </r>
      </text>
    </comment>
    <comment ref="R23" authorId="0" shapeId="0" xr:uid="{1355B4C2-F8E5-4953-A50C-F0D363E8F7A7}">
      <text>
        <r>
          <rPr>
            <b/>
            <sz val="8"/>
            <color indexed="81"/>
            <rFont val="Tahoma"/>
            <family val="2"/>
          </rPr>
          <t>From ALISE:
Part II, Table II-3, Total all other programs</t>
        </r>
        <r>
          <rPr>
            <sz val="8"/>
            <color indexed="81"/>
            <rFont val="Tahoma"/>
            <family val="2"/>
          </rPr>
          <t xml:space="preserve">
</t>
        </r>
      </text>
    </comment>
    <comment ref="S23" authorId="0" shapeId="0" xr:uid="{4B8BF93E-8A27-46F7-8DC3-F76772ABBABA}">
      <text>
        <r>
          <rPr>
            <b/>
            <sz val="8"/>
            <color indexed="81"/>
            <rFont val="Tahoma"/>
            <family val="2"/>
          </rPr>
          <t>From ALISE:
Part IV, Line 59</t>
        </r>
        <r>
          <rPr>
            <sz val="8"/>
            <color indexed="81"/>
            <rFont val="Tahoma"/>
            <family val="2"/>
          </rPr>
          <t xml:space="preserve">
</t>
        </r>
      </text>
    </comment>
    <comment ref="U23" authorId="0" shapeId="0" xr:uid="{2A6D6E37-CBA7-426B-955B-444A7E8C47D6}">
      <text>
        <r>
          <rPr>
            <b/>
            <sz val="8"/>
            <color indexed="81"/>
            <rFont val="Tahoma"/>
            <family val="2"/>
          </rPr>
          <t>From ALISE:
Part IV, Line 60</t>
        </r>
        <r>
          <rPr>
            <sz val="8"/>
            <color indexed="81"/>
            <rFont val="Tahoma"/>
            <family val="2"/>
          </rPr>
          <t xml:space="preserve">
</t>
        </r>
      </text>
    </comment>
    <comment ref="V23" authorId="0" shapeId="0" xr:uid="{C0654BEF-D9D6-43BA-B070-5280B669C089}">
      <text>
        <r>
          <rPr>
            <b/>
            <sz val="8"/>
            <color indexed="81"/>
            <rFont val="Tahoma"/>
            <family val="2"/>
          </rPr>
          <t>From ALISE:
Part IV, Total lines 61, 62, 63, 64, and 68</t>
        </r>
        <r>
          <rPr>
            <sz val="8"/>
            <color indexed="81"/>
            <rFont val="Tahoma"/>
            <family val="2"/>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2100-000001000000}">
      <text>
        <r>
          <rPr>
            <b/>
            <sz val="8"/>
            <color indexed="81"/>
            <rFont val="Tahoma"/>
            <family val="2"/>
          </rPr>
          <t>From ALISE:
Part I, Item 2, Fall</t>
        </r>
        <r>
          <rPr>
            <sz val="8"/>
            <color indexed="81"/>
            <rFont val="Tahoma"/>
            <family val="2"/>
          </rPr>
          <t xml:space="preserve">
</t>
        </r>
      </text>
    </comment>
    <comment ref="C21" authorId="0" shapeId="0" xr:uid="{00000000-0006-0000-2100-000002000000}">
      <text>
        <r>
          <rPr>
            <b/>
            <sz val="8"/>
            <color indexed="81"/>
            <rFont val="Tahoma"/>
            <family val="2"/>
          </rPr>
          <t>From ALISE:
Part I, Item 3, Fall</t>
        </r>
        <r>
          <rPr>
            <sz val="8"/>
            <color indexed="81"/>
            <rFont val="Tahoma"/>
            <family val="2"/>
          </rPr>
          <t xml:space="preserve">
</t>
        </r>
      </text>
    </comment>
    <comment ref="I21" authorId="0" shapeId="0" xr:uid="{00000000-0006-0000-21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21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21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21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21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21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21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2100-00000A000000}">
      <text>
        <r>
          <rPr>
            <b/>
            <sz val="8"/>
            <color indexed="81"/>
            <rFont val="Tahoma"/>
            <family val="2"/>
          </rPr>
          <t>From ALISE:
Part IV, Line 59</t>
        </r>
        <r>
          <rPr>
            <sz val="8"/>
            <color indexed="81"/>
            <rFont val="Tahoma"/>
            <family val="2"/>
          </rPr>
          <t xml:space="preserve">
</t>
        </r>
      </text>
    </comment>
    <comment ref="U21" authorId="0" shapeId="0" xr:uid="{00000000-0006-0000-2100-00000B000000}">
      <text>
        <r>
          <rPr>
            <b/>
            <sz val="8"/>
            <color indexed="81"/>
            <rFont val="Tahoma"/>
            <family val="2"/>
          </rPr>
          <t>From ALISE:
Part IV, Line 60</t>
        </r>
        <r>
          <rPr>
            <sz val="8"/>
            <color indexed="81"/>
            <rFont val="Tahoma"/>
            <family val="2"/>
          </rPr>
          <t xml:space="preserve">
</t>
        </r>
      </text>
    </comment>
    <comment ref="V21" authorId="0" shapeId="0" xr:uid="{00000000-0006-0000-21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2100-00000D000000}">
      <text>
        <r>
          <rPr>
            <b/>
            <sz val="8"/>
            <color indexed="81"/>
            <rFont val="Tahoma"/>
            <family val="2"/>
          </rPr>
          <t>From ALISE:
Part I, Item 2, Fall</t>
        </r>
        <r>
          <rPr>
            <sz val="8"/>
            <color indexed="81"/>
            <rFont val="Tahoma"/>
            <family val="2"/>
          </rPr>
          <t xml:space="preserve">
</t>
        </r>
      </text>
    </comment>
    <comment ref="C23" authorId="0" shapeId="0" xr:uid="{00000000-0006-0000-2100-00000E000000}">
      <text>
        <r>
          <rPr>
            <b/>
            <sz val="8"/>
            <color indexed="81"/>
            <rFont val="Tahoma"/>
            <family val="2"/>
          </rPr>
          <t>From ALISE:
Part I, Item 3, Fall</t>
        </r>
        <r>
          <rPr>
            <sz val="8"/>
            <color indexed="81"/>
            <rFont val="Tahoma"/>
            <family val="2"/>
          </rPr>
          <t xml:space="preserve">
</t>
        </r>
      </text>
    </comment>
    <comment ref="I23" authorId="0" shapeId="0" xr:uid="{00000000-0006-0000-21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21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21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21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21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21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21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2100-000016000000}">
      <text>
        <r>
          <rPr>
            <b/>
            <sz val="8"/>
            <color indexed="81"/>
            <rFont val="Tahoma"/>
            <family val="2"/>
          </rPr>
          <t>From ALISE:
Part IV, Line 59</t>
        </r>
        <r>
          <rPr>
            <sz val="8"/>
            <color indexed="81"/>
            <rFont val="Tahoma"/>
            <family val="2"/>
          </rPr>
          <t xml:space="preserve">
</t>
        </r>
      </text>
    </comment>
    <comment ref="U23" authorId="0" shapeId="0" xr:uid="{00000000-0006-0000-2100-000017000000}">
      <text>
        <r>
          <rPr>
            <b/>
            <sz val="8"/>
            <color indexed="81"/>
            <rFont val="Tahoma"/>
            <family val="2"/>
          </rPr>
          <t>From ALISE:
Part IV, Line 60</t>
        </r>
        <r>
          <rPr>
            <sz val="8"/>
            <color indexed="81"/>
            <rFont val="Tahoma"/>
            <family val="2"/>
          </rPr>
          <t xml:space="preserve">
</t>
        </r>
      </text>
    </comment>
    <comment ref="V23" authorId="0" shapeId="0" xr:uid="{00000000-0006-0000-21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2200-000001000000}">
      <text>
        <r>
          <rPr>
            <b/>
            <sz val="8"/>
            <color indexed="81"/>
            <rFont val="Tahoma"/>
            <family val="2"/>
          </rPr>
          <t>From ALISE:
Part I, Item 2, Fall</t>
        </r>
        <r>
          <rPr>
            <sz val="8"/>
            <color indexed="81"/>
            <rFont val="Tahoma"/>
            <family val="2"/>
          </rPr>
          <t xml:space="preserve">
</t>
        </r>
      </text>
    </comment>
    <comment ref="C21" authorId="0" shapeId="0" xr:uid="{00000000-0006-0000-2200-000002000000}">
      <text>
        <r>
          <rPr>
            <b/>
            <sz val="8"/>
            <color indexed="81"/>
            <rFont val="Tahoma"/>
            <family val="2"/>
          </rPr>
          <t>From ALISE:
Part I, Item 3, Fall</t>
        </r>
        <r>
          <rPr>
            <sz val="8"/>
            <color indexed="81"/>
            <rFont val="Tahoma"/>
            <family val="2"/>
          </rPr>
          <t xml:space="preserve">
</t>
        </r>
      </text>
    </comment>
    <comment ref="I21" authorId="0" shapeId="0" xr:uid="{00000000-0006-0000-22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22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22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22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22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22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22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2200-00000A000000}">
      <text>
        <r>
          <rPr>
            <b/>
            <sz val="8"/>
            <color indexed="81"/>
            <rFont val="Tahoma"/>
            <family val="2"/>
          </rPr>
          <t>From ALISE:
Part IV, Line 59</t>
        </r>
        <r>
          <rPr>
            <sz val="8"/>
            <color indexed="81"/>
            <rFont val="Tahoma"/>
            <family val="2"/>
          </rPr>
          <t xml:space="preserve">
</t>
        </r>
      </text>
    </comment>
    <comment ref="U21" authorId="0" shapeId="0" xr:uid="{00000000-0006-0000-2200-00000B000000}">
      <text>
        <r>
          <rPr>
            <b/>
            <sz val="8"/>
            <color indexed="81"/>
            <rFont val="Tahoma"/>
            <family val="2"/>
          </rPr>
          <t>From ALISE:
Part IV, Line 60</t>
        </r>
        <r>
          <rPr>
            <sz val="8"/>
            <color indexed="81"/>
            <rFont val="Tahoma"/>
            <family val="2"/>
          </rPr>
          <t xml:space="preserve">
</t>
        </r>
      </text>
    </comment>
    <comment ref="V21" authorId="0" shapeId="0" xr:uid="{00000000-0006-0000-2200-00000C000000}">
      <text>
        <r>
          <rPr>
            <b/>
            <sz val="8"/>
            <color indexed="81"/>
            <rFont val="Tahoma"/>
            <family val="2"/>
          </rPr>
          <t>From ALISE:
Part IV, Total lines 61, 62, 63, 64, and 68</t>
        </r>
        <r>
          <rPr>
            <sz val="8"/>
            <color indexed="81"/>
            <rFont val="Tahoma"/>
            <family val="2"/>
          </rPr>
          <t xml:space="preserve">
</t>
        </r>
      </text>
    </comment>
    <comment ref="B22" authorId="0" shapeId="0" xr:uid="{00000000-0006-0000-2200-00000D000000}">
      <text>
        <r>
          <rPr>
            <b/>
            <sz val="8"/>
            <color indexed="81"/>
            <rFont val="Tahoma"/>
            <family val="2"/>
          </rPr>
          <t>From ALISE:
Part I, Item 2, Fall</t>
        </r>
        <r>
          <rPr>
            <sz val="8"/>
            <color indexed="81"/>
            <rFont val="Tahoma"/>
            <family val="2"/>
          </rPr>
          <t xml:space="preserve">
</t>
        </r>
      </text>
    </comment>
    <comment ref="C22" authorId="0" shapeId="0" xr:uid="{00000000-0006-0000-2200-00000E000000}">
      <text>
        <r>
          <rPr>
            <b/>
            <sz val="8"/>
            <color indexed="81"/>
            <rFont val="Tahoma"/>
            <family val="2"/>
          </rPr>
          <t>From ALISE:
Part I, Item 3, Fall</t>
        </r>
        <r>
          <rPr>
            <sz val="8"/>
            <color indexed="81"/>
            <rFont val="Tahoma"/>
            <family val="2"/>
          </rPr>
          <t xml:space="preserve">
</t>
        </r>
      </text>
    </comment>
    <comment ref="I22" authorId="0" shapeId="0" xr:uid="{00000000-0006-0000-2200-00000F000000}">
      <text>
        <r>
          <rPr>
            <b/>
            <sz val="8"/>
            <color indexed="81"/>
            <rFont val="Tahoma"/>
            <family val="2"/>
          </rPr>
          <t>From ALISE:
Part II, Table II-1,
Total  Full-time,
ALA only</t>
        </r>
        <r>
          <rPr>
            <sz val="8"/>
            <color indexed="81"/>
            <rFont val="Tahoma"/>
            <family val="2"/>
          </rPr>
          <t xml:space="preserve">
</t>
        </r>
      </text>
    </comment>
    <comment ref="J22" authorId="0" shapeId="0" xr:uid="{00000000-0006-0000-2200-000010000000}">
      <text>
        <r>
          <rPr>
            <b/>
            <sz val="8"/>
            <color indexed="81"/>
            <rFont val="Tahoma"/>
            <family val="2"/>
          </rPr>
          <t>From ALISE:
Part II, Table II-1,
Total No. Part-time,
ALA only</t>
        </r>
        <r>
          <rPr>
            <sz val="8"/>
            <color indexed="81"/>
            <rFont val="Tahoma"/>
            <family val="2"/>
          </rPr>
          <t xml:space="preserve">
</t>
        </r>
      </text>
    </comment>
    <comment ref="L22" authorId="0" shapeId="0" xr:uid="{00000000-0006-0000-2200-000011000000}">
      <text>
        <r>
          <rPr>
            <b/>
            <sz val="8"/>
            <color indexed="81"/>
            <rFont val="Tahoma"/>
            <family val="2"/>
          </rPr>
          <t xml:space="preserve">From ALISE:
Part II, Table II-1,
Total Part-Time FTE, ALA only
</t>
        </r>
        <r>
          <rPr>
            <sz val="8"/>
            <color indexed="81"/>
            <rFont val="Tahoma"/>
            <family val="2"/>
          </rPr>
          <t xml:space="preserve">
</t>
        </r>
      </text>
    </comment>
    <comment ref="N22" authorId="0" shapeId="0" xr:uid="{00000000-0006-0000-2200-000012000000}">
      <text>
        <r>
          <rPr>
            <b/>
            <sz val="8"/>
            <color indexed="81"/>
            <rFont val="Tahoma"/>
            <family val="2"/>
          </rPr>
          <t xml:space="preserve">From ALISE:
Part II, Table 11-4, Total AI, AP, B, and H,
ALA only  </t>
        </r>
        <r>
          <rPr>
            <sz val="8"/>
            <color indexed="81"/>
            <rFont val="Tahoma"/>
            <family val="2"/>
          </rPr>
          <t xml:space="preserve">
</t>
        </r>
      </text>
    </comment>
    <comment ref="O22" authorId="0" shapeId="0" xr:uid="{00000000-0006-0000-2200-000013000000}">
      <text>
        <r>
          <rPr>
            <b/>
            <sz val="8"/>
            <color indexed="81"/>
            <rFont val="Tahoma"/>
            <family val="2"/>
          </rPr>
          <t>From ALISE:
Part II, Table II-1, Total FTE, all programs</t>
        </r>
        <r>
          <rPr>
            <sz val="8"/>
            <color indexed="81"/>
            <rFont val="Tahoma"/>
            <family val="2"/>
          </rPr>
          <t xml:space="preserve">
</t>
        </r>
      </text>
    </comment>
    <comment ref="Q22" authorId="0" shapeId="0" xr:uid="{00000000-0006-0000-2200-000014000000}">
      <text>
        <r>
          <rPr>
            <b/>
            <sz val="8"/>
            <color indexed="81"/>
            <rFont val="Tahoma"/>
            <family val="2"/>
          </rPr>
          <t>From ALISE:
Part II, Table II-3, Total, ALA only</t>
        </r>
        <r>
          <rPr>
            <sz val="8"/>
            <color indexed="81"/>
            <rFont val="Tahoma"/>
            <family val="2"/>
          </rPr>
          <t xml:space="preserve">
</t>
        </r>
      </text>
    </comment>
    <comment ref="R22" authorId="0" shapeId="0" xr:uid="{00000000-0006-0000-2200-000015000000}">
      <text>
        <r>
          <rPr>
            <b/>
            <sz val="8"/>
            <color indexed="81"/>
            <rFont val="Tahoma"/>
            <family val="2"/>
          </rPr>
          <t>From ALISE:
Part II, Table II-3, Total all other programs</t>
        </r>
        <r>
          <rPr>
            <sz val="8"/>
            <color indexed="81"/>
            <rFont val="Tahoma"/>
            <family val="2"/>
          </rPr>
          <t xml:space="preserve">
</t>
        </r>
      </text>
    </comment>
    <comment ref="S22" authorId="0" shapeId="0" xr:uid="{00000000-0006-0000-2200-000016000000}">
      <text>
        <r>
          <rPr>
            <b/>
            <sz val="8"/>
            <color indexed="81"/>
            <rFont val="Tahoma"/>
            <family val="2"/>
          </rPr>
          <t>From ALISE:
Part IV, Line 59</t>
        </r>
        <r>
          <rPr>
            <sz val="8"/>
            <color indexed="81"/>
            <rFont val="Tahoma"/>
            <family val="2"/>
          </rPr>
          <t xml:space="preserve">
</t>
        </r>
      </text>
    </comment>
    <comment ref="U22" authorId="0" shapeId="0" xr:uid="{00000000-0006-0000-2200-000017000000}">
      <text>
        <r>
          <rPr>
            <b/>
            <sz val="8"/>
            <color indexed="81"/>
            <rFont val="Tahoma"/>
            <family val="2"/>
          </rPr>
          <t>From ALISE:
Part IV, Line 60</t>
        </r>
        <r>
          <rPr>
            <sz val="8"/>
            <color indexed="81"/>
            <rFont val="Tahoma"/>
            <family val="2"/>
          </rPr>
          <t xml:space="preserve">
</t>
        </r>
      </text>
    </comment>
    <comment ref="V22" authorId="0" shapeId="0" xr:uid="{00000000-0006-0000-2200-000018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2200-000019000000}">
      <text>
        <r>
          <rPr>
            <b/>
            <sz val="8"/>
            <color indexed="81"/>
            <rFont val="Tahoma"/>
            <family val="2"/>
          </rPr>
          <t>From ALISE:
Part I, Item 2, Fall</t>
        </r>
        <r>
          <rPr>
            <sz val="8"/>
            <color indexed="81"/>
            <rFont val="Tahoma"/>
            <family val="2"/>
          </rPr>
          <t xml:space="preserve">
</t>
        </r>
      </text>
    </comment>
    <comment ref="C23" authorId="0" shapeId="0" xr:uid="{00000000-0006-0000-2200-00001A000000}">
      <text>
        <r>
          <rPr>
            <b/>
            <sz val="8"/>
            <color indexed="81"/>
            <rFont val="Tahoma"/>
            <family val="2"/>
          </rPr>
          <t>From ALISE:
Part I, Item 3, Fall</t>
        </r>
        <r>
          <rPr>
            <sz val="8"/>
            <color indexed="81"/>
            <rFont val="Tahoma"/>
            <family val="2"/>
          </rPr>
          <t xml:space="preserve">
</t>
        </r>
      </text>
    </comment>
    <comment ref="I23" authorId="0" shapeId="0" xr:uid="{00000000-0006-0000-2200-00001B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2200-00001C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2200-00001D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2200-00001E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2200-00001F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2200-000020000000}">
      <text>
        <r>
          <rPr>
            <b/>
            <sz val="8"/>
            <color indexed="81"/>
            <rFont val="Tahoma"/>
            <family val="2"/>
          </rPr>
          <t>From ALISE:
Part II, Table II-3, Total, ALA only</t>
        </r>
        <r>
          <rPr>
            <sz val="8"/>
            <color indexed="81"/>
            <rFont val="Tahoma"/>
            <family val="2"/>
          </rPr>
          <t xml:space="preserve">
</t>
        </r>
      </text>
    </comment>
    <comment ref="R23" authorId="0" shapeId="0" xr:uid="{00000000-0006-0000-2200-000021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2200-000022000000}">
      <text>
        <r>
          <rPr>
            <b/>
            <sz val="8"/>
            <color indexed="81"/>
            <rFont val="Tahoma"/>
            <family val="2"/>
          </rPr>
          <t>From ALISE:
Part IV, Line 59</t>
        </r>
        <r>
          <rPr>
            <sz val="8"/>
            <color indexed="81"/>
            <rFont val="Tahoma"/>
            <family val="2"/>
          </rPr>
          <t xml:space="preserve">
</t>
        </r>
      </text>
    </comment>
    <comment ref="U23" authorId="0" shapeId="0" xr:uid="{00000000-0006-0000-2200-000023000000}">
      <text>
        <r>
          <rPr>
            <b/>
            <sz val="8"/>
            <color indexed="81"/>
            <rFont val="Tahoma"/>
            <family val="2"/>
          </rPr>
          <t>From ALISE:
Part IV, Line 60</t>
        </r>
        <r>
          <rPr>
            <sz val="8"/>
            <color indexed="81"/>
            <rFont val="Tahoma"/>
            <family val="2"/>
          </rPr>
          <t xml:space="preserve">
</t>
        </r>
      </text>
    </comment>
    <comment ref="V23" authorId="0" shapeId="0" xr:uid="{00000000-0006-0000-2200-000024000000}">
      <text>
        <r>
          <rPr>
            <b/>
            <sz val="8"/>
            <color indexed="81"/>
            <rFont val="Tahoma"/>
            <family val="2"/>
          </rPr>
          <t>From ALISE:
Part IV, Total lines 61, 62, 63, 64, and 68</t>
        </r>
        <r>
          <rPr>
            <sz val="8"/>
            <color indexed="81"/>
            <rFont val="Tahoma"/>
            <family val="2"/>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3" authorId="0" shapeId="0" xr:uid="{00000000-0006-0000-2400-000001000000}">
      <text>
        <r>
          <rPr>
            <b/>
            <sz val="8"/>
            <color indexed="81"/>
            <rFont val="Tahoma"/>
            <family val="2"/>
          </rPr>
          <t>From ALISE:
Part I, Item 2, Fall</t>
        </r>
        <r>
          <rPr>
            <sz val="8"/>
            <color indexed="81"/>
            <rFont val="Tahoma"/>
            <family val="2"/>
          </rPr>
          <t xml:space="preserve">
</t>
        </r>
      </text>
    </comment>
    <comment ref="C23" authorId="0" shapeId="0" xr:uid="{00000000-0006-0000-2400-000002000000}">
      <text>
        <r>
          <rPr>
            <b/>
            <sz val="8"/>
            <color indexed="81"/>
            <rFont val="Tahoma"/>
            <family val="2"/>
          </rPr>
          <t>From ALISE:
Part I, Item 3, Fall</t>
        </r>
        <r>
          <rPr>
            <sz val="8"/>
            <color indexed="81"/>
            <rFont val="Tahoma"/>
            <family val="2"/>
          </rPr>
          <t xml:space="preserve">
</t>
        </r>
      </text>
    </comment>
    <comment ref="I23" authorId="0" shapeId="0" xr:uid="{00000000-0006-0000-2400-000003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2400-000004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2400-000005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2400-000006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2400-000007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2400-000008000000}">
      <text>
        <r>
          <rPr>
            <b/>
            <sz val="8"/>
            <color indexed="81"/>
            <rFont val="Tahoma"/>
            <family val="2"/>
          </rPr>
          <t>From ALISE:
Part II, Table II-3, Total, ALA only</t>
        </r>
        <r>
          <rPr>
            <sz val="8"/>
            <color indexed="81"/>
            <rFont val="Tahoma"/>
            <family val="2"/>
          </rPr>
          <t xml:space="preserve">
</t>
        </r>
      </text>
    </comment>
    <comment ref="R23" authorId="0" shapeId="0" xr:uid="{00000000-0006-0000-2400-000009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2400-00000A000000}">
      <text>
        <r>
          <rPr>
            <b/>
            <sz val="8"/>
            <color indexed="81"/>
            <rFont val="Tahoma"/>
            <family val="2"/>
          </rPr>
          <t>From ALISE:
Part IV, Line 59</t>
        </r>
        <r>
          <rPr>
            <sz val="8"/>
            <color indexed="81"/>
            <rFont val="Tahoma"/>
            <family val="2"/>
          </rPr>
          <t xml:space="preserve">
</t>
        </r>
      </text>
    </comment>
    <comment ref="U23" authorId="0" shapeId="0" xr:uid="{00000000-0006-0000-2400-00000B000000}">
      <text>
        <r>
          <rPr>
            <b/>
            <sz val="8"/>
            <color indexed="81"/>
            <rFont val="Tahoma"/>
            <family val="2"/>
          </rPr>
          <t>From ALISE:
Part IV, Line 60</t>
        </r>
        <r>
          <rPr>
            <sz val="8"/>
            <color indexed="81"/>
            <rFont val="Tahoma"/>
            <family val="2"/>
          </rPr>
          <t xml:space="preserve">
</t>
        </r>
      </text>
    </comment>
    <comment ref="V23" authorId="0" shapeId="0" xr:uid="{00000000-0006-0000-2400-00000C000000}">
      <text>
        <r>
          <rPr>
            <b/>
            <sz val="8"/>
            <color indexed="81"/>
            <rFont val="Tahoma"/>
            <family val="2"/>
          </rPr>
          <t>From ALISE:
Part IV, Total lines 61, 62, 63, 64, and 68</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21" authorId="0" shapeId="0" xr:uid="{00000000-0006-0000-0300-000001000000}">
      <text>
        <r>
          <rPr>
            <sz val="11"/>
            <color rgb="FF000000"/>
            <rFont val="Calibri"/>
            <family val="2"/>
          </rPr>
          <t xml:space="preserve">From ALISE:
Part I, Item 2, Fall
</t>
        </r>
      </text>
    </comment>
    <comment ref="C21" authorId="0" shapeId="0" xr:uid="{00000000-0006-0000-0300-000002000000}">
      <text>
        <r>
          <rPr>
            <sz val="11"/>
            <color rgb="FF000000"/>
            <rFont val="Calibri"/>
            <family val="2"/>
          </rPr>
          <t xml:space="preserve">From ALISE:
Part I, Item 3, Fall
</t>
        </r>
      </text>
    </comment>
    <comment ref="I21" authorId="0" shapeId="0" xr:uid="{00000000-0006-0000-0300-000003000000}">
      <text>
        <r>
          <rPr>
            <sz val="11"/>
            <color rgb="FF000000"/>
            <rFont val="Calibri"/>
            <family val="2"/>
          </rPr>
          <t xml:space="preserve">From ALISE:
Part II, Table II-1,
Total  Full-time,
ALA only
</t>
        </r>
      </text>
    </comment>
    <comment ref="J21" authorId="0" shapeId="0" xr:uid="{00000000-0006-0000-0300-000004000000}">
      <text>
        <r>
          <rPr>
            <sz val="11"/>
            <color rgb="FF000000"/>
            <rFont val="Calibri"/>
            <family val="2"/>
          </rPr>
          <t xml:space="preserve">From ALISE:
Part II, Table II-1,
Total No. Part-time,
ALA only
</t>
        </r>
      </text>
    </comment>
    <comment ref="L21" authorId="0" shapeId="0" xr:uid="{00000000-0006-0000-0300-000005000000}">
      <text>
        <r>
          <rPr>
            <sz val="11"/>
            <color rgb="FF000000"/>
            <rFont val="Calibri"/>
            <family val="2"/>
          </rPr>
          <t xml:space="preserve">From ALISE:
Part II, Table II-1,
Total Part-Time FTE, ALA only
</t>
        </r>
      </text>
    </comment>
    <comment ref="N21" authorId="0" shapeId="0" xr:uid="{00000000-0006-0000-0300-000006000000}">
      <text>
        <r>
          <rPr>
            <sz val="11"/>
            <color rgb="FF000000"/>
            <rFont val="Calibri"/>
            <family val="2"/>
          </rPr>
          <t xml:space="preserve">From ALISE:
Part II, Table 11-4, Total AI, AP, B, and H,
ALA only  
</t>
        </r>
      </text>
    </comment>
    <comment ref="O21" authorId="0" shapeId="0" xr:uid="{00000000-0006-0000-0300-000007000000}">
      <text>
        <r>
          <rPr>
            <sz val="11"/>
            <color rgb="FF000000"/>
            <rFont val="Calibri"/>
            <family val="2"/>
          </rPr>
          <t xml:space="preserve">From ALISE:
Part II, Table II-1, Total FTE, all programs
</t>
        </r>
      </text>
    </comment>
    <comment ref="Q21" authorId="0" shapeId="0" xr:uid="{00000000-0006-0000-0300-000008000000}">
      <text>
        <r>
          <rPr>
            <sz val="11"/>
            <color rgb="FF000000"/>
            <rFont val="Calibri"/>
            <family val="2"/>
          </rPr>
          <t xml:space="preserve">From ALISE:
Part II, Table II-3, Total, ALA only
</t>
        </r>
      </text>
    </comment>
    <comment ref="R21" authorId="0" shapeId="0" xr:uid="{00000000-0006-0000-0300-000009000000}">
      <text>
        <r>
          <rPr>
            <sz val="11"/>
            <color rgb="FF000000"/>
            <rFont val="Calibri"/>
            <family val="2"/>
          </rPr>
          <t xml:space="preserve">From ALISE:
Part II, Table II-3, Total all other programs
</t>
        </r>
      </text>
    </comment>
    <comment ref="S21" authorId="0" shapeId="0" xr:uid="{00000000-0006-0000-0300-00000A000000}">
      <text>
        <r>
          <rPr>
            <sz val="11"/>
            <color rgb="FF000000"/>
            <rFont val="Calibri"/>
            <family val="2"/>
          </rPr>
          <t xml:space="preserve">From ALISE:
Part IV, Line 59
</t>
        </r>
      </text>
    </comment>
    <comment ref="U21" authorId="0" shapeId="0" xr:uid="{00000000-0006-0000-0300-00000B000000}">
      <text>
        <r>
          <rPr>
            <sz val="11"/>
            <color rgb="FF000000"/>
            <rFont val="Calibri"/>
            <family val="2"/>
          </rPr>
          <t xml:space="preserve">From ALISE:
Part IV, Line 60
</t>
        </r>
      </text>
    </comment>
    <comment ref="V21" authorId="0" shapeId="0" xr:uid="{00000000-0006-0000-0300-00000C000000}">
      <text>
        <r>
          <rPr>
            <sz val="11"/>
            <color rgb="FF000000"/>
            <rFont val="Calibri"/>
            <family val="2"/>
          </rPr>
          <t xml:space="preserve">From ALISE:
Part IV, Total lines 61, 62, 63, 64, and 68
</t>
        </r>
      </text>
    </comment>
    <comment ref="B22" authorId="0" shapeId="0" xr:uid="{00000000-0006-0000-0300-00000D000000}">
      <text>
        <r>
          <rPr>
            <sz val="11"/>
            <color rgb="FF000000"/>
            <rFont val="Calibri"/>
            <family val="2"/>
          </rPr>
          <t xml:space="preserve">From ALISE:
Part I, Item 2, Fall
</t>
        </r>
      </text>
    </comment>
    <comment ref="C22" authorId="0" shapeId="0" xr:uid="{00000000-0006-0000-0300-00000E000000}">
      <text>
        <r>
          <rPr>
            <sz val="11"/>
            <color rgb="FF000000"/>
            <rFont val="Calibri"/>
            <family val="2"/>
          </rPr>
          <t xml:space="preserve">From ALISE:
Part I, Item 3, Fall
</t>
        </r>
      </text>
    </comment>
    <comment ref="I22" authorId="0" shapeId="0" xr:uid="{00000000-0006-0000-0300-00000F000000}">
      <text>
        <r>
          <rPr>
            <sz val="11"/>
            <color rgb="FF000000"/>
            <rFont val="Calibri"/>
            <family val="2"/>
          </rPr>
          <t xml:space="preserve">From ALISE:
Part II, Table II-1,
Total  Full-time,
ALA only
</t>
        </r>
      </text>
    </comment>
    <comment ref="J22" authorId="0" shapeId="0" xr:uid="{00000000-0006-0000-0300-000010000000}">
      <text>
        <r>
          <rPr>
            <sz val="11"/>
            <color rgb="FF000000"/>
            <rFont val="Calibri"/>
            <family val="2"/>
          </rPr>
          <t xml:space="preserve">From ALISE:
Part II, Table II-1,
Total No. Part-time,
ALA only
</t>
        </r>
      </text>
    </comment>
    <comment ref="L22" authorId="0" shapeId="0" xr:uid="{00000000-0006-0000-0300-000011000000}">
      <text>
        <r>
          <rPr>
            <sz val="11"/>
            <color rgb="FF000000"/>
            <rFont val="Calibri"/>
            <family val="2"/>
          </rPr>
          <t xml:space="preserve">From ALISE:
Part II, Table II-1,
Total Part-Time FTE, ALA only
</t>
        </r>
      </text>
    </comment>
    <comment ref="N22" authorId="0" shapeId="0" xr:uid="{00000000-0006-0000-0300-000012000000}">
      <text>
        <r>
          <rPr>
            <sz val="11"/>
            <color rgb="FF000000"/>
            <rFont val="Calibri"/>
            <family val="2"/>
          </rPr>
          <t xml:space="preserve">From ALISE:
Part II, Table 11-4, Total AI, AP, B, and H,
ALA only  
</t>
        </r>
      </text>
    </comment>
    <comment ref="O22" authorId="0" shapeId="0" xr:uid="{00000000-0006-0000-0300-000013000000}">
      <text>
        <r>
          <rPr>
            <sz val="11"/>
            <color rgb="FF000000"/>
            <rFont val="Calibri"/>
            <family val="2"/>
          </rPr>
          <t xml:space="preserve">From ALISE:
Part II, Table II-1, Total FTE, all programs
</t>
        </r>
      </text>
    </comment>
    <comment ref="Q22" authorId="0" shapeId="0" xr:uid="{00000000-0006-0000-0300-000014000000}">
      <text>
        <r>
          <rPr>
            <sz val="11"/>
            <color rgb="FF000000"/>
            <rFont val="Calibri"/>
            <family val="2"/>
          </rPr>
          <t xml:space="preserve">From ALISE:
Part II, Table II-3, Total, ALA only
</t>
        </r>
      </text>
    </comment>
    <comment ref="R22" authorId="0" shapeId="0" xr:uid="{00000000-0006-0000-0300-000015000000}">
      <text>
        <r>
          <rPr>
            <sz val="11"/>
            <color rgb="FF000000"/>
            <rFont val="Calibri"/>
            <family val="2"/>
          </rPr>
          <t xml:space="preserve">From ALISE:
Part II, Table II-3, Total all other programs
</t>
        </r>
      </text>
    </comment>
    <comment ref="S22" authorId="0" shapeId="0" xr:uid="{00000000-0006-0000-0300-000016000000}">
      <text>
        <r>
          <rPr>
            <sz val="11"/>
            <color rgb="FF000000"/>
            <rFont val="Calibri"/>
            <family val="2"/>
          </rPr>
          <t xml:space="preserve">From ALISE:
Part IV, Line 59
</t>
        </r>
      </text>
    </comment>
    <comment ref="U22" authorId="0" shapeId="0" xr:uid="{00000000-0006-0000-0300-000017000000}">
      <text>
        <r>
          <rPr>
            <sz val="11"/>
            <color rgb="FF000000"/>
            <rFont val="Calibri"/>
            <family val="2"/>
          </rPr>
          <t xml:space="preserve">From ALISE:
Part IV, Line 60
</t>
        </r>
      </text>
    </comment>
    <comment ref="V22" authorId="0" shapeId="0" xr:uid="{00000000-0006-0000-0300-000018000000}">
      <text>
        <r>
          <rPr>
            <sz val="11"/>
            <color rgb="FF000000"/>
            <rFont val="Calibri"/>
            <family val="2"/>
          </rPr>
          <t xml:space="preserve">From ALISE:
Part IV, Total lines 61, 62, 63, 64, and 68
</t>
        </r>
      </text>
    </comment>
    <comment ref="B23" authorId="0" shapeId="0" xr:uid="{00000000-0006-0000-0300-000019000000}">
      <text>
        <r>
          <rPr>
            <sz val="11"/>
            <color rgb="FF000000"/>
            <rFont val="Calibri"/>
            <family val="2"/>
          </rPr>
          <t xml:space="preserve">From ALISE:
Part I, Item 2, Fall
</t>
        </r>
      </text>
    </comment>
    <comment ref="C23" authorId="0" shapeId="0" xr:uid="{00000000-0006-0000-0300-00001A000000}">
      <text>
        <r>
          <rPr>
            <sz val="11"/>
            <color rgb="FF000000"/>
            <rFont val="Calibri"/>
            <family val="2"/>
          </rPr>
          <t xml:space="preserve">From ALISE:
Part I, Item 3, Fall
</t>
        </r>
      </text>
    </comment>
    <comment ref="I23" authorId="0" shapeId="0" xr:uid="{00000000-0006-0000-0300-00001B000000}">
      <text>
        <r>
          <rPr>
            <sz val="11"/>
            <color rgb="FF000000"/>
            <rFont val="Calibri"/>
            <family val="2"/>
          </rPr>
          <t xml:space="preserve">From ALISE:
Part II, Table II-1,
Total  Full-time,
ALA only
</t>
        </r>
      </text>
    </comment>
    <comment ref="J23" authorId="0" shapeId="0" xr:uid="{00000000-0006-0000-0300-00001C000000}">
      <text>
        <r>
          <rPr>
            <sz val="11"/>
            <color rgb="FF000000"/>
            <rFont val="Calibri"/>
            <family val="2"/>
          </rPr>
          <t xml:space="preserve">From ALISE:
Part II, Table II-1,
Total No. Part-time,
ALA only
</t>
        </r>
      </text>
    </comment>
    <comment ref="L23" authorId="0" shapeId="0" xr:uid="{00000000-0006-0000-0300-00001D000000}">
      <text>
        <r>
          <rPr>
            <sz val="11"/>
            <color rgb="FF000000"/>
            <rFont val="Calibri"/>
            <family val="2"/>
          </rPr>
          <t xml:space="preserve">From ALISE:
Part II, Table II-1,
Total Part-Time FTE, ALA only
</t>
        </r>
      </text>
    </comment>
    <comment ref="N23" authorId="0" shapeId="0" xr:uid="{00000000-0006-0000-0300-00001E000000}">
      <text>
        <r>
          <rPr>
            <sz val="11"/>
            <color rgb="FF000000"/>
            <rFont val="Calibri"/>
            <family val="2"/>
          </rPr>
          <t xml:space="preserve">From ALISE:
Part II, Table 11-4, Total AI, AP, B, and H,
ALA only  
</t>
        </r>
      </text>
    </comment>
    <comment ref="O23" authorId="0" shapeId="0" xr:uid="{00000000-0006-0000-0300-00001F000000}">
      <text>
        <r>
          <rPr>
            <sz val="11"/>
            <color rgb="FF000000"/>
            <rFont val="Calibri"/>
            <family val="2"/>
          </rPr>
          <t xml:space="preserve">From ALISE:
Part II, Table II-1, Total FTE, all programs
</t>
        </r>
      </text>
    </comment>
    <comment ref="Q23" authorId="0" shapeId="0" xr:uid="{00000000-0006-0000-0300-000020000000}">
      <text>
        <r>
          <rPr>
            <sz val="11"/>
            <color rgb="FF000000"/>
            <rFont val="Calibri"/>
            <family val="2"/>
          </rPr>
          <t xml:space="preserve">From ALISE:
Part II, Table II-3, Total, ALA only
</t>
        </r>
      </text>
    </comment>
    <comment ref="R23" authorId="0" shapeId="0" xr:uid="{00000000-0006-0000-0300-000021000000}">
      <text>
        <r>
          <rPr>
            <sz val="11"/>
            <color rgb="FF000000"/>
            <rFont val="Calibri"/>
            <family val="2"/>
          </rPr>
          <t xml:space="preserve">From ALISE:
Part II, Table II-3, Total all other programs
</t>
        </r>
      </text>
    </comment>
    <comment ref="S23" authorId="0" shapeId="0" xr:uid="{00000000-0006-0000-0300-000022000000}">
      <text>
        <r>
          <rPr>
            <sz val="11"/>
            <color rgb="FF000000"/>
            <rFont val="Calibri"/>
            <family val="2"/>
          </rPr>
          <t xml:space="preserve">From ALISE:
Part IV, Line 59
</t>
        </r>
      </text>
    </comment>
    <comment ref="U23" authorId="0" shapeId="0" xr:uid="{00000000-0006-0000-0300-000023000000}">
      <text>
        <r>
          <rPr>
            <sz val="11"/>
            <color rgb="FF000000"/>
            <rFont val="Calibri"/>
            <family val="2"/>
          </rPr>
          <t xml:space="preserve">From ALISE:
Part IV, Line 60
</t>
        </r>
      </text>
    </comment>
    <comment ref="V23" authorId="0" shapeId="0" xr:uid="{00000000-0006-0000-0300-000024000000}">
      <text>
        <r>
          <rPr>
            <sz val="11"/>
            <color rgb="FF000000"/>
            <rFont val="Calibri"/>
            <family val="2"/>
          </rPr>
          <t xml:space="preserve">From ALISE:
Part IV, Total lines 61, 62, 63, 64, and 68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tc={0E659DE3-B71C-407A-BED4-BA9FF8C02173}</author>
    <author>Karen O'Brien</author>
  </authors>
  <commentList>
    <comment ref="C6" authorId="0" shapeId="0" xr:uid="{0E659DE3-B71C-407A-BED4-BA9FF8C02173}">
      <text>
        <t>[Threaded comment]
Your version of Excel allows you to read this threaded comment; however, any edits to it will get removed if the file is opened in a newer version of Excel. Learn more: https://go.microsoft.com/fwlink/?linkid=870924
Comment:
    02/18/20:  Increase from 18 PT FTE Faculty in 2018 to 29 in 2019 is due to the change in the undergraduate Computer Science and Information Science BS programs from upper-division to freshman-admitting students and more freshman-level courses being taught.</t>
      </text>
    </comment>
    <comment ref="B23" authorId="1" shapeId="0" xr:uid="{00000000-0006-0000-2600-000001000000}">
      <text>
        <r>
          <rPr>
            <b/>
            <sz val="8"/>
            <color indexed="81"/>
            <rFont val="Tahoma"/>
            <family val="2"/>
          </rPr>
          <t>From ALISE:
Part I, Item 2, Fall</t>
        </r>
        <r>
          <rPr>
            <sz val="8"/>
            <color indexed="81"/>
            <rFont val="Tahoma"/>
            <family val="2"/>
          </rPr>
          <t xml:space="preserve">
</t>
        </r>
      </text>
    </comment>
    <comment ref="C23" authorId="1" shapeId="0" xr:uid="{00000000-0006-0000-2600-000002000000}">
      <text>
        <r>
          <rPr>
            <b/>
            <sz val="8"/>
            <color indexed="81"/>
            <rFont val="Tahoma"/>
            <family val="2"/>
          </rPr>
          <t>From ALISE:
Part I, Item 3, Fall</t>
        </r>
        <r>
          <rPr>
            <sz val="8"/>
            <color indexed="81"/>
            <rFont val="Tahoma"/>
            <family val="2"/>
          </rPr>
          <t xml:space="preserve">
</t>
        </r>
      </text>
    </comment>
    <comment ref="I23" authorId="1" shapeId="0" xr:uid="{00000000-0006-0000-2600-000003000000}">
      <text>
        <r>
          <rPr>
            <b/>
            <sz val="8"/>
            <color indexed="81"/>
            <rFont val="Tahoma"/>
            <family val="2"/>
          </rPr>
          <t>From ALISE:
Part II, Table II-1,
Total  Full-time,
ALA only</t>
        </r>
        <r>
          <rPr>
            <sz val="8"/>
            <color indexed="81"/>
            <rFont val="Tahoma"/>
            <family val="2"/>
          </rPr>
          <t xml:space="preserve">
</t>
        </r>
      </text>
    </comment>
    <comment ref="J23" authorId="1" shapeId="0" xr:uid="{00000000-0006-0000-2600-000004000000}">
      <text>
        <r>
          <rPr>
            <b/>
            <sz val="8"/>
            <color indexed="81"/>
            <rFont val="Tahoma"/>
            <family val="2"/>
          </rPr>
          <t>From ALISE:
Part II, Table II-1,
Total No. Part-time,
ALA only</t>
        </r>
        <r>
          <rPr>
            <sz val="8"/>
            <color indexed="81"/>
            <rFont val="Tahoma"/>
            <family val="2"/>
          </rPr>
          <t xml:space="preserve">
</t>
        </r>
      </text>
    </comment>
    <comment ref="L23" authorId="1" shapeId="0" xr:uid="{00000000-0006-0000-2600-000005000000}">
      <text>
        <r>
          <rPr>
            <b/>
            <sz val="8"/>
            <color indexed="81"/>
            <rFont val="Tahoma"/>
            <family val="2"/>
          </rPr>
          <t xml:space="preserve">From ALISE:
Part II, Table II-1,
Total Part-Time FTE, ALA only
</t>
        </r>
        <r>
          <rPr>
            <sz val="8"/>
            <color indexed="81"/>
            <rFont val="Tahoma"/>
            <family val="2"/>
          </rPr>
          <t xml:space="preserve">
</t>
        </r>
      </text>
    </comment>
    <comment ref="N23" authorId="1" shapeId="0" xr:uid="{00000000-0006-0000-2600-000006000000}">
      <text>
        <r>
          <rPr>
            <b/>
            <sz val="8"/>
            <color indexed="81"/>
            <rFont val="Tahoma"/>
            <family val="2"/>
          </rPr>
          <t xml:space="preserve">From ALISE:
Part II, Table 11-4, Total AI, AP, B, and H,
ALA only  </t>
        </r>
        <r>
          <rPr>
            <sz val="8"/>
            <color indexed="81"/>
            <rFont val="Tahoma"/>
            <family val="2"/>
          </rPr>
          <t xml:space="preserve">
</t>
        </r>
      </text>
    </comment>
    <comment ref="O23" authorId="1" shapeId="0" xr:uid="{00000000-0006-0000-2600-000007000000}">
      <text>
        <r>
          <rPr>
            <b/>
            <sz val="8"/>
            <color indexed="81"/>
            <rFont val="Tahoma"/>
            <family val="2"/>
          </rPr>
          <t>From ALISE:
Part II, Table II-1, Total FTE, all programs</t>
        </r>
        <r>
          <rPr>
            <sz val="8"/>
            <color indexed="81"/>
            <rFont val="Tahoma"/>
            <family val="2"/>
          </rPr>
          <t xml:space="preserve">
</t>
        </r>
      </text>
    </comment>
    <comment ref="Q23" authorId="1" shapeId="0" xr:uid="{00000000-0006-0000-2600-000008000000}">
      <text>
        <r>
          <rPr>
            <b/>
            <sz val="8"/>
            <color indexed="81"/>
            <rFont val="Tahoma"/>
            <family val="2"/>
          </rPr>
          <t>From ALISE:
Part II, Table II-3, Total, ALA only</t>
        </r>
        <r>
          <rPr>
            <sz val="8"/>
            <color indexed="81"/>
            <rFont val="Tahoma"/>
            <family val="2"/>
          </rPr>
          <t xml:space="preserve">
</t>
        </r>
      </text>
    </comment>
    <comment ref="R23" authorId="1" shapeId="0" xr:uid="{00000000-0006-0000-2600-000009000000}">
      <text>
        <r>
          <rPr>
            <b/>
            <sz val="8"/>
            <color indexed="81"/>
            <rFont val="Tahoma"/>
            <family val="2"/>
          </rPr>
          <t>From ALISE:
Part II, Table II-3, Total all other programs</t>
        </r>
        <r>
          <rPr>
            <sz val="8"/>
            <color indexed="81"/>
            <rFont val="Tahoma"/>
            <family val="2"/>
          </rPr>
          <t xml:space="preserve">
</t>
        </r>
      </text>
    </comment>
    <comment ref="S23" authorId="1" shapeId="0" xr:uid="{00000000-0006-0000-2600-00000A000000}">
      <text>
        <r>
          <rPr>
            <b/>
            <sz val="8"/>
            <color indexed="81"/>
            <rFont val="Tahoma"/>
            <family val="2"/>
          </rPr>
          <t>From ALISE:
Part IV, Line 59</t>
        </r>
        <r>
          <rPr>
            <sz val="8"/>
            <color indexed="81"/>
            <rFont val="Tahoma"/>
            <family val="2"/>
          </rPr>
          <t xml:space="preserve">
</t>
        </r>
      </text>
    </comment>
    <comment ref="U23" authorId="1" shapeId="0" xr:uid="{00000000-0006-0000-2600-00000B000000}">
      <text>
        <r>
          <rPr>
            <b/>
            <sz val="8"/>
            <color indexed="81"/>
            <rFont val="Tahoma"/>
            <family val="2"/>
          </rPr>
          <t>From ALISE:
Part IV, Line 60</t>
        </r>
        <r>
          <rPr>
            <sz val="8"/>
            <color indexed="81"/>
            <rFont val="Tahoma"/>
            <family val="2"/>
          </rPr>
          <t xml:space="preserve">
</t>
        </r>
      </text>
    </comment>
    <comment ref="V23" authorId="1" shapeId="0" xr:uid="{00000000-0006-0000-2600-00000C000000}">
      <text>
        <r>
          <rPr>
            <b/>
            <sz val="8"/>
            <color indexed="81"/>
            <rFont val="Tahoma"/>
            <family val="2"/>
          </rPr>
          <t>From ALISE:
Part IV, Total lines 61, 62, 63, 64, and 68</t>
        </r>
        <r>
          <rPr>
            <sz val="8"/>
            <color indexed="81"/>
            <rFont val="Tahoma"/>
            <family val="2"/>
          </rPr>
          <t xml:space="preserve">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2700-000001000000}">
      <text>
        <r>
          <rPr>
            <b/>
            <sz val="8"/>
            <color indexed="81"/>
            <rFont val="Tahoma"/>
            <family val="2"/>
          </rPr>
          <t>From ALISE:
Part I, Item 2, Fall</t>
        </r>
        <r>
          <rPr>
            <sz val="8"/>
            <color indexed="81"/>
            <rFont val="Tahoma"/>
            <family val="2"/>
          </rPr>
          <t xml:space="preserve">
</t>
        </r>
      </text>
    </comment>
    <comment ref="C21" authorId="0" shapeId="0" xr:uid="{00000000-0006-0000-2700-000002000000}">
      <text>
        <r>
          <rPr>
            <b/>
            <sz val="8"/>
            <color indexed="81"/>
            <rFont val="Tahoma"/>
            <family val="2"/>
          </rPr>
          <t>From ALISE:
Part I, Item 3, Fall</t>
        </r>
        <r>
          <rPr>
            <sz val="8"/>
            <color indexed="81"/>
            <rFont val="Tahoma"/>
            <family val="2"/>
          </rPr>
          <t xml:space="preserve">
</t>
        </r>
      </text>
    </comment>
    <comment ref="I21" authorId="0" shapeId="0" xr:uid="{00000000-0006-0000-27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27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27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27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27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27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27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2700-00000A000000}">
      <text>
        <r>
          <rPr>
            <b/>
            <sz val="8"/>
            <color indexed="81"/>
            <rFont val="Tahoma"/>
            <family val="2"/>
          </rPr>
          <t>From ALISE:
Part IV, Line 59</t>
        </r>
        <r>
          <rPr>
            <sz val="8"/>
            <color indexed="81"/>
            <rFont val="Tahoma"/>
            <family val="2"/>
          </rPr>
          <t xml:space="preserve">
</t>
        </r>
      </text>
    </comment>
    <comment ref="U21" authorId="0" shapeId="0" xr:uid="{00000000-0006-0000-2700-00000B000000}">
      <text>
        <r>
          <rPr>
            <b/>
            <sz val="8"/>
            <color indexed="81"/>
            <rFont val="Tahoma"/>
            <family val="2"/>
          </rPr>
          <t>From ALISE:
Part IV, Line 60</t>
        </r>
        <r>
          <rPr>
            <sz val="8"/>
            <color indexed="81"/>
            <rFont val="Tahoma"/>
            <family val="2"/>
          </rPr>
          <t xml:space="preserve">
</t>
        </r>
      </text>
    </comment>
    <comment ref="V21" authorId="0" shapeId="0" xr:uid="{00000000-0006-0000-27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2700-00000D000000}">
      <text>
        <r>
          <rPr>
            <b/>
            <sz val="8"/>
            <color indexed="81"/>
            <rFont val="Tahoma"/>
            <family val="2"/>
          </rPr>
          <t>From ALISE:
Part I, Item 2, Fall</t>
        </r>
        <r>
          <rPr>
            <sz val="8"/>
            <color indexed="81"/>
            <rFont val="Tahoma"/>
            <family val="2"/>
          </rPr>
          <t xml:space="preserve">
</t>
        </r>
      </text>
    </comment>
    <comment ref="C23" authorId="0" shapeId="0" xr:uid="{00000000-0006-0000-2700-00000E000000}">
      <text>
        <r>
          <rPr>
            <b/>
            <sz val="8"/>
            <color indexed="81"/>
            <rFont val="Tahoma"/>
            <family val="2"/>
          </rPr>
          <t>From ALISE:
Part I, Item 3, Fall</t>
        </r>
        <r>
          <rPr>
            <sz val="8"/>
            <color indexed="81"/>
            <rFont val="Tahoma"/>
            <family val="2"/>
          </rPr>
          <t xml:space="preserve">
</t>
        </r>
      </text>
    </comment>
    <comment ref="I23" authorId="0" shapeId="0" xr:uid="{00000000-0006-0000-27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27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27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27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27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27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27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2700-000016000000}">
      <text>
        <r>
          <rPr>
            <b/>
            <sz val="8"/>
            <color indexed="81"/>
            <rFont val="Tahoma"/>
            <family val="2"/>
          </rPr>
          <t>From ALISE:
Part IV, Line 59</t>
        </r>
        <r>
          <rPr>
            <sz val="8"/>
            <color indexed="81"/>
            <rFont val="Tahoma"/>
            <family val="2"/>
          </rPr>
          <t xml:space="preserve">
</t>
        </r>
      </text>
    </comment>
    <comment ref="U23" authorId="0" shapeId="0" xr:uid="{00000000-0006-0000-2700-000017000000}">
      <text>
        <r>
          <rPr>
            <b/>
            <sz val="8"/>
            <color indexed="81"/>
            <rFont val="Tahoma"/>
            <family val="2"/>
          </rPr>
          <t>From ALISE:
Part IV, Line 60</t>
        </r>
        <r>
          <rPr>
            <sz val="8"/>
            <color indexed="81"/>
            <rFont val="Tahoma"/>
            <family val="2"/>
          </rPr>
          <t xml:space="preserve">
</t>
        </r>
      </text>
    </comment>
    <comment ref="V23" authorId="0" shapeId="0" xr:uid="{00000000-0006-0000-27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
  </authors>
  <commentList>
    <comment ref="B23" authorId="0" shapeId="0" xr:uid="{00000000-0006-0000-2800-000001000000}">
      <text>
        <r>
          <rPr>
            <sz val="11"/>
            <color rgb="FF000000"/>
            <rFont val="Calibri"/>
            <family val="2"/>
          </rPr>
          <t xml:space="preserve">From ALISE:
Part I, Item 2, Fall
</t>
        </r>
      </text>
    </comment>
    <comment ref="C23" authorId="0" shapeId="0" xr:uid="{00000000-0006-0000-2800-000002000000}">
      <text>
        <r>
          <rPr>
            <sz val="11"/>
            <color rgb="FF000000"/>
            <rFont val="Calibri"/>
            <family val="2"/>
          </rPr>
          <t xml:space="preserve">From ALISE:
Part I, Item 3, Fall
</t>
        </r>
      </text>
    </comment>
    <comment ref="I23" authorId="0" shapeId="0" xr:uid="{00000000-0006-0000-2800-000003000000}">
      <text>
        <r>
          <rPr>
            <sz val="11"/>
            <color rgb="FF000000"/>
            <rFont val="Calibri"/>
            <family val="2"/>
          </rPr>
          <t xml:space="preserve">From ALISE:
Part II, Table II-1,
Total  Full-time,
ALA only
</t>
        </r>
      </text>
    </comment>
    <comment ref="J23" authorId="0" shapeId="0" xr:uid="{00000000-0006-0000-2800-000004000000}">
      <text>
        <r>
          <rPr>
            <sz val="11"/>
            <color rgb="FF000000"/>
            <rFont val="Calibri"/>
            <family val="2"/>
          </rPr>
          <t xml:space="preserve">From ALISE:
Part II, Table II-1,
Total No. Part-time,
ALA only
</t>
        </r>
      </text>
    </comment>
    <comment ref="L23" authorId="0" shapeId="0" xr:uid="{00000000-0006-0000-2800-000005000000}">
      <text>
        <r>
          <rPr>
            <sz val="11"/>
            <color rgb="FF000000"/>
            <rFont val="Calibri"/>
            <family val="2"/>
          </rPr>
          <t xml:space="preserve">From ALISE:
Part II, Table II-1,
Total Part-Time FTE, ALA only
</t>
        </r>
      </text>
    </comment>
    <comment ref="N23" authorId="0" shapeId="0" xr:uid="{00000000-0006-0000-2800-000006000000}">
      <text>
        <r>
          <rPr>
            <sz val="11"/>
            <color rgb="FF000000"/>
            <rFont val="Calibri"/>
            <family val="2"/>
          </rPr>
          <t xml:space="preserve">From ALISE:
Part II, Table 11-4, Total AI, AP, B, and H,
ALA only  
</t>
        </r>
      </text>
    </comment>
    <comment ref="O23" authorId="0" shapeId="0" xr:uid="{00000000-0006-0000-2800-000007000000}">
      <text>
        <r>
          <rPr>
            <sz val="11"/>
            <color rgb="FF000000"/>
            <rFont val="Calibri"/>
            <family val="2"/>
          </rPr>
          <t xml:space="preserve">From ALISE:
Part II, Table II-1, Total FTE, all programs
</t>
        </r>
      </text>
    </comment>
    <comment ref="Q23" authorId="0" shapeId="0" xr:uid="{00000000-0006-0000-2800-000008000000}">
      <text>
        <r>
          <rPr>
            <sz val="11"/>
            <color rgb="FF000000"/>
            <rFont val="Calibri"/>
            <family val="2"/>
          </rPr>
          <t xml:space="preserve">From ALISE:
Part II, Table II-3, Total, ALA only
</t>
        </r>
      </text>
    </comment>
    <comment ref="R23" authorId="0" shapeId="0" xr:uid="{00000000-0006-0000-2800-000009000000}">
      <text>
        <r>
          <rPr>
            <sz val="11"/>
            <color rgb="FF000000"/>
            <rFont val="Calibri"/>
            <family val="2"/>
          </rPr>
          <t xml:space="preserve">From ALISE:
Part II, Table II-3, Total all other programs
</t>
        </r>
      </text>
    </comment>
    <comment ref="S23" authorId="0" shapeId="0" xr:uid="{00000000-0006-0000-2800-00000A000000}">
      <text>
        <r>
          <rPr>
            <sz val="11"/>
            <color rgb="FF000000"/>
            <rFont val="Calibri"/>
            <family val="2"/>
          </rPr>
          <t xml:space="preserve">From ALISE:
</t>
        </r>
        <r>
          <rPr>
            <sz val="11"/>
            <color rgb="FF000000"/>
            <rFont val="Calibri"/>
            <family val="2"/>
          </rPr>
          <t xml:space="preserve">Part IV, Line 59
</t>
        </r>
      </text>
    </comment>
    <comment ref="U23" authorId="0" shapeId="0" xr:uid="{00000000-0006-0000-2800-00000B000000}">
      <text>
        <r>
          <rPr>
            <sz val="11"/>
            <color rgb="FF000000"/>
            <rFont val="Calibri"/>
            <family val="2"/>
          </rPr>
          <t xml:space="preserve">From ALISE:
Part IV, Line 60
</t>
        </r>
      </text>
    </comment>
    <comment ref="V23" authorId="0" shapeId="0" xr:uid="{00000000-0006-0000-2800-00000C000000}">
      <text>
        <r>
          <rPr>
            <sz val="11"/>
            <color rgb="FF000000"/>
            <rFont val="Calibri"/>
            <family val="2"/>
          </rPr>
          <t xml:space="preserve">From ALISE:
Part IV, Total lines 61, 62, 63, 64, and 68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kobrien</author>
    <author>Karen O'Brien</author>
  </authors>
  <commentList>
    <comment ref="L13" authorId="0" shapeId="0" xr:uid="{00000000-0006-0000-2900-000001000000}">
      <text>
        <r>
          <rPr>
            <b/>
            <sz val="8"/>
            <color indexed="81"/>
            <rFont val="Tahoma"/>
            <family val="2"/>
          </rPr>
          <t>kobrien:</t>
        </r>
        <r>
          <rPr>
            <sz val="8"/>
            <color indexed="81"/>
            <rFont val="Tahoma"/>
            <family val="2"/>
          </rPr>
          <t xml:space="preserve">
ALISE output cells B39, B41, B44, B46</t>
        </r>
      </text>
    </comment>
    <comment ref="N13" authorId="0" shapeId="0" xr:uid="{00000000-0006-0000-2900-000002000000}">
      <text>
        <r>
          <rPr>
            <b/>
            <sz val="8"/>
            <color indexed="81"/>
            <rFont val="Tahoma"/>
            <family val="2"/>
          </rPr>
          <t>kobrien:</t>
        </r>
        <r>
          <rPr>
            <sz val="8"/>
            <color indexed="81"/>
            <rFont val="Tahoma"/>
            <family val="2"/>
          </rPr>
          <t xml:space="preserve">
Await ALISE output data from rows 384-388, 394-398, 464-468, 474-478</t>
        </r>
      </text>
    </comment>
    <comment ref="O13" authorId="0" shapeId="0" xr:uid="{00000000-0006-0000-2900-000003000000}">
      <text>
        <r>
          <rPr>
            <b/>
            <sz val="8"/>
            <color indexed="81"/>
            <rFont val="Tahoma"/>
            <family val="2"/>
          </rPr>
          <t>ALISE output cell B102= 1 Post-Master's [FTE (Total)]</t>
        </r>
        <r>
          <rPr>
            <sz val="8"/>
            <color indexed="81"/>
            <rFont val="Tahoma"/>
            <family val="2"/>
          </rPr>
          <t xml:space="preserve">
</t>
        </r>
      </text>
    </comment>
    <comment ref="B21" authorId="1" shapeId="0" xr:uid="{00000000-0006-0000-2900-000004000000}">
      <text>
        <r>
          <rPr>
            <b/>
            <sz val="8"/>
            <color indexed="81"/>
            <rFont val="Tahoma"/>
            <family val="2"/>
          </rPr>
          <t>From ALISE:
Part I, Item 2, Fall</t>
        </r>
        <r>
          <rPr>
            <sz val="8"/>
            <color indexed="81"/>
            <rFont val="Tahoma"/>
            <family val="2"/>
          </rPr>
          <t xml:space="preserve">
</t>
        </r>
      </text>
    </comment>
    <comment ref="C21" authorId="1" shapeId="0" xr:uid="{00000000-0006-0000-2900-000005000000}">
      <text>
        <r>
          <rPr>
            <b/>
            <sz val="8"/>
            <color indexed="81"/>
            <rFont val="Tahoma"/>
            <family val="2"/>
          </rPr>
          <t>From ALISE:
Part I, Item 3, Fall</t>
        </r>
        <r>
          <rPr>
            <sz val="8"/>
            <color indexed="81"/>
            <rFont val="Tahoma"/>
            <family val="2"/>
          </rPr>
          <t xml:space="preserve">
</t>
        </r>
      </text>
    </comment>
    <comment ref="I21" authorId="1" shapeId="0" xr:uid="{00000000-0006-0000-2900-000006000000}">
      <text>
        <r>
          <rPr>
            <b/>
            <sz val="8"/>
            <color indexed="81"/>
            <rFont val="Tahoma"/>
            <family val="2"/>
          </rPr>
          <t>From ALISE:
Part II, Table II-1,
Total  Full-time,
ALA only</t>
        </r>
        <r>
          <rPr>
            <sz val="8"/>
            <color indexed="81"/>
            <rFont val="Tahoma"/>
            <family val="2"/>
          </rPr>
          <t xml:space="preserve">
</t>
        </r>
      </text>
    </comment>
    <comment ref="J21" authorId="1" shapeId="0" xr:uid="{00000000-0006-0000-2900-000007000000}">
      <text>
        <r>
          <rPr>
            <b/>
            <sz val="8"/>
            <color indexed="81"/>
            <rFont val="Tahoma"/>
            <family val="2"/>
          </rPr>
          <t>From ALISE:
Part II, Table II-1,
Total No. Part-time,
ALA only</t>
        </r>
        <r>
          <rPr>
            <sz val="8"/>
            <color indexed="81"/>
            <rFont val="Tahoma"/>
            <family val="2"/>
          </rPr>
          <t xml:space="preserve">
</t>
        </r>
      </text>
    </comment>
    <comment ref="L21" authorId="1" shapeId="0" xr:uid="{00000000-0006-0000-2900-000008000000}">
      <text>
        <r>
          <rPr>
            <b/>
            <sz val="8"/>
            <color indexed="81"/>
            <rFont val="Tahoma"/>
            <family val="2"/>
          </rPr>
          <t xml:space="preserve">From ALISE:
Part II, Table II-1,
Total Part-Time FTE, ALA only
</t>
        </r>
        <r>
          <rPr>
            <sz val="8"/>
            <color indexed="81"/>
            <rFont val="Tahoma"/>
            <family val="2"/>
          </rPr>
          <t xml:space="preserve">
</t>
        </r>
      </text>
    </comment>
    <comment ref="N21" authorId="1" shapeId="0" xr:uid="{00000000-0006-0000-2900-000009000000}">
      <text>
        <r>
          <rPr>
            <b/>
            <sz val="8"/>
            <color indexed="81"/>
            <rFont val="Tahoma"/>
            <family val="2"/>
          </rPr>
          <t xml:space="preserve">From ALISE:
Part II, Table 11-4, Total AI, AP, B, and H,
ALA only  </t>
        </r>
        <r>
          <rPr>
            <sz val="8"/>
            <color indexed="81"/>
            <rFont val="Tahoma"/>
            <family val="2"/>
          </rPr>
          <t xml:space="preserve">
</t>
        </r>
      </text>
    </comment>
    <comment ref="O21" authorId="1" shapeId="0" xr:uid="{00000000-0006-0000-2900-00000A000000}">
      <text>
        <r>
          <rPr>
            <b/>
            <sz val="8"/>
            <color indexed="81"/>
            <rFont val="Tahoma"/>
            <family val="2"/>
          </rPr>
          <t>From ALISE:
Part II, Table II-1, Total FTE, all programs</t>
        </r>
        <r>
          <rPr>
            <sz val="8"/>
            <color indexed="81"/>
            <rFont val="Tahoma"/>
            <family val="2"/>
          </rPr>
          <t xml:space="preserve">
</t>
        </r>
      </text>
    </comment>
    <comment ref="Q21" authorId="1" shapeId="0" xr:uid="{00000000-0006-0000-2900-00000B000000}">
      <text>
        <r>
          <rPr>
            <b/>
            <sz val="8"/>
            <color indexed="81"/>
            <rFont val="Tahoma"/>
            <family val="2"/>
          </rPr>
          <t>From ALISE:
Part II, Table II-3, Total, ALA only</t>
        </r>
        <r>
          <rPr>
            <sz val="8"/>
            <color indexed="81"/>
            <rFont val="Tahoma"/>
            <family val="2"/>
          </rPr>
          <t xml:space="preserve">
</t>
        </r>
      </text>
    </comment>
    <comment ref="R21" authorId="1" shapeId="0" xr:uid="{00000000-0006-0000-2900-00000C000000}">
      <text>
        <r>
          <rPr>
            <b/>
            <sz val="8"/>
            <color indexed="81"/>
            <rFont val="Tahoma"/>
            <family val="2"/>
          </rPr>
          <t>From ALISE:
Part II, Table II-3, Total all other programs</t>
        </r>
        <r>
          <rPr>
            <sz val="8"/>
            <color indexed="81"/>
            <rFont val="Tahoma"/>
            <family val="2"/>
          </rPr>
          <t xml:space="preserve">
</t>
        </r>
      </text>
    </comment>
    <comment ref="S21" authorId="1" shapeId="0" xr:uid="{00000000-0006-0000-2900-00000D000000}">
      <text>
        <r>
          <rPr>
            <b/>
            <sz val="8"/>
            <color indexed="81"/>
            <rFont val="Tahoma"/>
            <family val="2"/>
          </rPr>
          <t>From ALISE:
Part IV, Line 59</t>
        </r>
        <r>
          <rPr>
            <sz val="8"/>
            <color indexed="81"/>
            <rFont val="Tahoma"/>
            <family val="2"/>
          </rPr>
          <t xml:space="preserve">
</t>
        </r>
      </text>
    </comment>
    <comment ref="U21" authorId="1" shapeId="0" xr:uid="{00000000-0006-0000-2900-00000E000000}">
      <text>
        <r>
          <rPr>
            <b/>
            <sz val="8"/>
            <color indexed="81"/>
            <rFont val="Tahoma"/>
            <family val="2"/>
          </rPr>
          <t>From ALISE:
Part IV, Line 60</t>
        </r>
        <r>
          <rPr>
            <sz val="8"/>
            <color indexed="81"/>
            <rFont val="Tahoma"/>
            <family val="2"/>
          </rPr>
          <t xml:space="preserve">
</t>
        </r>
      </text>
    </comment>
    <comment ref="V21" authorId="1" shapeId="0" xr:uid="{00000000-0006-0000-2900-00000F000000}">
      <text>
        <r>
          <rPr>
            <b/>
            <sz val="8"/>
            <color indexed="81"/>
            <rFont val="Tahoma"/>
            <family val="2"/>
          </rPr>
          <t>From ALISE:
Part IV, Total lines 61, 62, 63, 64, and 68</t>
        </r>
        <r>
          <rPr>
            <sz val="8"/>
            <color indexed="81"/>
            <rFont val="Tahoma"/>
            <family val="2"/>
          </rPr>
          <t xml:space="preserve">
</t>
        </r>
      </text>
    </comment>
    <comment ref="B23" authorId="1" shapeId="0" xr:uid="{00000000-0006-0000-2900-000010000000}">
      <text>
        <r>
          <rPr>
            <b/>
            <sz val="8"/>
            <color indexed="81"/>
            <rFont val="Tahoma"/>
            <family val="2"/>
          </rPr>
          <t>From ALISE:
Part I, Item 2, Fall</t>
        </r>
        <r>
          <rPr>
            <sz val="8"/>
            <color indexed="81"/>
            <rFont val="Tahoma"/>
            <family val="2"/>
          </rPr>
          <t xml:space="preserve">
</t>
        </r>
      </text>
    </comment>
    <comment ref="C23" authorId="1" shapeId="0" xr:uid="{00000000-0006-0000-2900-000011000000}">
      <text>
        <r>
          <rPr>
            <b/>
            <sz val="8"/>
            <color indexed="81"/>
            <rFont val="Tahoma"/>
            <family val="2"/>
          </rPr>
          <t>From ALISE:
Part I, Item 3, Fall</t>
        </r>
        <r>
          <rPr>
            <sz val="8"/>
            <color indexed="81"/>
            <rFont val="Tahoma"/>
            <family val="2"/>
          </rPr>
          <t xml:space="preserve">
</t>
        </r>
      </text>
    </comment>
    <comment ref="I23" authorId="1" shapeId="0" xr:uid="{00000000-0006-0000-2900-000012000000}">
      <text>
        <r>
          <rPr>
            <b/>
            <sz val="8"/>
            <color indexed="81"/>
            <rFont val="Tahoma"/>
            <family val="2"/>
          </rPr>
          <t>From ALISE:
Part II, Table II-1,
Total  Full-time,
ALA only</t>
        </r>
        <r>
          <rPr>
            <sz val="8"/>
            <color indexed="81"/>
            <rFont val="Tahoma"/>
            <family val="2"/>
          </rPr>
          <t xml:space="preserve">
</t>
        </r>
      </text>
    </comment>
    <comment ref="J23" authorId="1" shapeId="0" xr:uid="{00000000-0006-0000-2900-000013000000}">
      <text>
        <r>
          <rPr>
            <b/>
            <sz val="8"/>
            <color indexed="81"/>
            <rFont val="Tahoma"/>
            <family val="2"/>
          </rPr>
          <t>From ALISE:
Part II, Table II-1,
Total No. Part-time,
ALA only</t>
        </r>
        <r>
          <rPr>
            <sz val="8"/>
            <color indexed="81"/>
            <rFont val="Tahoma"/>
            <family val="2"/>
          </rPr>
          <t xml:space="preserve">
</t>
        </r>
      </text>
    </comment>
    <comment ref="L23" authorId="1" shapeId="0" xr:uid="{00000000-0006-0000-2900-000014000000}">
      <text>
        <r>
          <rPr>
            <b/>
            <sz val="8"/>
            <color indexed="81"/>
            <rFont val="Tahoma"/>
            <family val="2"/>
          </rPr>
          <t xml:space="preserve">From ALISE:
Part II, Table II-1,
Total Part-Time FTE, ALA only
</t>
        </r>
        <r>
          <rPr>
            <sz val="8"/>
            <color indexed="81"/>
            <rFont val="Tahoma"/>
            <family val="2"/>
          </rPr>
          <t xml:space="preserve">
</t>
        </r>
      </text>
    </comment>
    <comment ref="N23" authorId="1" shapeId="0" xr:uid="{00000000-0006-0000-2900-000015000000}">
      <text>
        <r>
          <rPr>
            <b/>
            <sz val="8"/>
            <color indexed="81"/>
            <rFont val="Tahoma"/>
            <family val="2"/>
          </rPr>
          <t xml:space="preserve">From ALISE:
Part II, Table 11-4, Total AI, AP, B, and H,
ALA only  </t>
        </r>
        <r>
          <rPr>
            <sz val="8"/>
            <color indexed="81"/>
            <rFont val="Tahoma"/>
            <family val="2"/>
          </rPr>
          <t xml:space="preserve">
</t>
        </r>
      </text>
    </comment>
    <comment ref="O23" authorId="1" shapeId="0" xr:uid="{00000000-0006-0000-2900-000016000000}">
      <text>
        <r>
          <rPr>
            <b/>
            <sz val="8"/>
            <color indexed="81"/>
            <rFont val="Tahoma"/>
            <family val="2"/>
          </rPr>
          <t>From ALISE:
Part II, Table II-1, Total FTE, all programs</t>
        </r>
        <r>
          <rPr>
            <sz val="8"/>
            <color indexed="81"/>
            <rFont val="Tahoma"/>
            <family val="2"/>
          </rPr>
          <t xml:space="preserve">
</t>
        </r>
      </text>
    </comment>
    <comment ref="Q23" authorId="1" shapeId="0" xr:uid="{00000000-0006-0000-2900-000017000000}">
      <text>
        <r>
          <rPr>
            <b/>
            <sz val="8"/>
            <color indexed="81"/>
            <rFont val="Tahoma"/>
            <family val="2"/>
          </rPr>
          <t>From ALISE:
Part II, Table II-3, Total, ALA only</t>
        </r>
        <r>
          <rPr>
            <sz val="8"/>
            <color indexed="81"/>
            <rFont val="Tahoma"/>
            <family val="2"/>
          </rPr>
          <t xml:space="preserve">
</t>
        </r>
      </text>
    </comment>
    <comment ref="R23" authorId="1" shapeId="0" xr:uid="{00000000-0006-0000-2900-000018000000}">
      <text>
        <r>
          <rPr>
            <b/>
            <sz val="8"/>
            <color indexed="81"/>
            <rFont val="Tahoma"/>
            <family val="2"/>
          </rPr>
          <t>From ALISE:
Part II, Table II-3, Total all other programs</t>
        </r>
        <r>
          <rPr>
            <sz val="8"/>
            <color indexed="81"/>
            <rFont val="Tahoma"/>
            <family val="2"/>
          </rPr>
          <t xml:space="preserve">
</t>
        </r>
      </text>
    </comment>
    <comment ref="S23" authorId="1" shapeId="0" xr:uid="{00000000-0006-0000-2900-000019000000}">
      <text>
        <r>
          <rPr>
            <b/>
            <sz val="8"/>
            <color indexed="81"/>
            <rFont val="Tahoma"/>
            <family val="2"/>
          </rPr>
          <t>From ALISE:
Part IV, Line 59</t>
        </r>
        <r>
          <rPr>
            <sz val="8"/>
            <color indexed="81"/>
            <rFont val="Tahoma"/>
            <family val="2"/>
          </rPr>
          <t xml:space="preserve">
</t>
        </r>
      </text>
    </comment>
    <comment ref="U23" authorId="1" shapeId="0" xr:uid="{00000000-0006-0000-2900-00001A000000}">
      <text>
        <r>
          <rPr>
            <b/>
            <sz val="8"/>
            <color indexed="81"/>
            <rFont val="Tahoma"/>
            <family val="2"/>
          </rPr>
          <t>From ALISE:
Part IV, Line 60</t>
        </r>
        <r>
          <rPr>
            <sz val="8"/>
            <color indexed="81"/>
            <rFont val="Tahoma"/>
            <family val="2"/>
          </rPr>
          <t xml:space="preserve">
</t>
        </r>
      </text>
    </comment>
    <comment ref="V23" authorId="1" shapeId="0" xr:uid="{00000000-0006-0000-2900-00001B000000}">
      <text>
        <r>
          <rPr>
            <b/>
            <sz val="8"/>
            <color indexed="81"/>
            <rFont val="Tahoma"/>
            <family val="2"/>
          </rPr>
          <t>From ALISE:
Part IV, Total lines 61, 62, 63, 64, and 68</t>
        </r>
        <r>
          <rPr>
            <sz val="8"/>
            <color indexed="81"/>
            <rFont val="Tahoma"/>
            <family val="2"/>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2B00-000001000000}">
      <text>
        <r>
          <rPr>
            <b/>
            <sz val="8"/>
            <color indexed="81"/>
            <rFont val="Tahoma"/>
            <family val="2"/>
          </rPr>
          <t>From ALISE:
Part I, Item 2, Fall</t>
        </r>
        <r>
          <rPr>
            <sz val="8"/>
            <color indexed="81"/>
            <rFont val="Tahoma"/>
            <family val="2"/>
          </rPr>
          <t xml:space="preserve">
</t>
        </r>
      </text>
    </comment>
    <comment ref="C21" authorId="0" shapeId="0" xr:uid="{00000000-0006-0000-2B00-000002000000}">
      <text>
        <r>
          <rPr>
            <b/>
            <sz val="8"/>
            <color indexed="81"/>
            <rFont val="Tahoma"/>
            <family val="2"/>
          </rPr>
          <t>From ALISE:
Part I, Item 3, Fall</t>
        </r>
        <r>
          <rPr>
            <sz val="8"/>
            <color indexed="81"/>
            <rFont val="Tahoma"/>
            <family val="2"/>
          </rPr>
          <t xml:space="preserve">
</t>
        </r>
      </text>
    </comment>
    <comment ref="I21" authorId="0" shapeId="0" xr:uid="{00000000-0006-0000-2B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2B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2B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2B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2B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2B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2B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2B00-00000A000000}">
      <text>
        <r>
          <rPr>
            <b/>
            <sz val="8"/>
            <color indexed="81"/>
            <rFont val="Tahoma"/>
            <family val="2"/>
          </rPr>
          <t>From ALISE:
Part IV, Line 59</t>
        </r>
        <r>
          <rPr>
            <sz val="8"/>
            <color indexed="81"/>
            <rFont val="Tahoma"/>
            <family val="2"/>
          </rPr>
          <t xml:space="preserve">
</t>
        </r>
      </text>
    </comment>
    <comment ref="U21" authorId="0" shapeId="0" xr:uid="{00000000-0006-0000-2B00-00000B000000}">
      <text>
        <r>
          <rPr>
            <b/>
            <sz val="8"/>
            <color indexed="81"/>
            <rFont val="Tahoma"/>
            <family val="2"/>
          </rPr>
          <t>From ALISE:
Part IV, Line 60</t>
        </r>
        <r>
          <rPr>
            <sz val="8"/>
            <color indexed="81"/>
            <rFont val="Tahoma"/>
            <family val="2"/>
          </rPr>
          <t xml:space="preserve">
</t>
        </r>
      </text>
    </comment>
    <comment ref="V21" authorId="0" shapeId="0" xr:uid="{00000000-0006-0000-2B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2B00-00000D000000}">
      <text>
        <r>
          <rPr>
            <b/>
            <sz val="8"/>
            <color indexed="81"/>
            <rFont val="Tahoma"/>
            <family val="2"/>
          </rPr>
          <t>From ALISE:
Part I, Item 2, Fall</t>
        </r>
        <r>
          <rPr>
            <sz val="8"/>
            <color indexed="81"/>
            <rFont val="Tahoma"/>
            <family val="2"/>
          </rPr>
          <t xml:space="preserve">
</t>
        </r>
      </text>
    </comment>
    <comment ref="C23" authorId="0" shapeId="0" xr:uid="{00000000-0006-0000-2B00-00000E000000}">
      <text>
        <r>
          <rPr>
            <b/>
            <sz val="8"/>
            <color indexed="81"/>
            <rFont val="Tahoma"/>
            <family val="2"/>
          </rPr>
          <t>From ALISE:
Part I, Item 3, Fall</t>
        </r>
        <r>
          <rPr>
            <sz val="8"/>
            <color indexed="81"/>
            <rFont val="Tahoma"/>
            <family val="2"/>
          </rPr>
          <t xml:space="preserve">
</t>
        </r>
      </text>
    </comment>
    <comment ref="I23" authorId="0" shapeId="0" xr:uid="{00000000-0006-0000-2B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2B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2B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2B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2B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2B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2B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2B00-000016000000}">
      <text>
        <r>
          <rPr>
            <b/>
            <sz val="8"/>
            <color indexed="81"/>
            <rFont val="Tahoma"/>
            <family val="2"/>
          </rPr>
          <t>From ALISE:
Part IV, Line 59</t>
        </r>
        <r>
          <rPr>
            <sz val="8"/>
            <color indexed="81"/>
            <rFont val="Tahoma"/>
            <family val="2"/>
          </rPr>
          <t xml:space="preserve">
</t>
        </r>
      </text>
    </comment>
    <comment ref="U23" authorId="0" shapeId="0" xr:uid="{00000000-0006-0000-2B00-000017000000}">
      <text>
        <r>
          <rPr>
            <b/>
            <sz val="8"/>
            <color indexed="81"/>
            <rFont val="Tahoma"/>
            <family val="2"/>
          </rPr>
          <t>From ALISE:
Part IV, Line 60</t>
        </r>
        <r>
          <rPr>
            <sz val="8"/>
            <color indexed="81"/>
            <rFont val="Tahoma"/>
            <family val="2"/>
          </rPr>
          <t xml:space="preserve">
</t>
        </r>
      </text>
    </comment>
    <comment ref="V23" authorId="0" shapeId="0" xr:uid="{00000000-0006-0000-2B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2C00-000001000000}">
      <text>
        <r>
          <rPr>
            <b/>
            <sz val="8"/>
            <color indexed="81"/>
            <rFont val="Tahoma"/>
            <family val="2"/>
          </rPr>
          <t>From ALISE:
Part I, Item 2, Fall</t>
        </r>
        <r>
          <rPr>
            <sz val="8"/>
            <color indexed="81"/>
            <rFont val="Tahoma"/>
            <family val="2"/>
          </rPr>
          <t xml:space="preserve">
</t>
        </r>
      </text>
    </comment>
    <comment ref="C21" authorId="0" shapeId="0" xr:uid="{00000000-0006-0000-2C00-000002000000}">
      <text>
        <r>
          <rPr>
            <b/>
            <sz val="8"/>
            <color indexed="81"/>
            <rFont val="Tahoma"/>
            <family val="2"/>
          </rPr>
          <t>From ALISE:
Part I, Item 3, Fall</t>
        </r>
        <r>
          <rPr>
            <sz val="8"/>
            <color indexed="81"/>
            <rFont val="Tahoma"/>
            <family val="2"/>
          </rPr>
          <t xml:space="preserve">
</t>
        </r>
      </text>
    </comment>
    <comment ref="I21" authorId="0" shapeId="0" xr:uid="{00000000-0006-0000-2C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2C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2C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2C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2C00-000007000000}">
      <text>
        <r>
          <rPr>
            <b/>
            <sz val="8"/>
            <color rgb="FF000000"/>
            <rFont val="Tahoma"/>
            <family val="2"/>
          </rPr>
          <t xml:space="preserve">From ALISE:
</t>
        </r>
        <r>
          <rPr>
            <b/>
            <sz val="8"/>
            <color rgb="FF000000"/>
            <rFont val="Tahoma"/>
            <family val="2"/>
          </rPr>
          <t>Part II, Table II-1, Total FTE, all programs</t>
        </r>
        <r>
          <rPr>
            <sz val="8"/>
            <color rgb="FF000000"/>
            <rFont val="Tahoma"/>
            <family val="2"/>
          </rPr>
          <t xml:space="preserve">
</t>
        </r>
      </text>
    </comment>
    <comment ref="Q21" authorId="0" shapeId="0" xr:uid="{00000000-0006-0000-2C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2C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2C00-00000A000000}">
      <text>
        <r>
          <rPr>
            <b/>
            <sz val="8"/>
            <color indexed="81"/>
            <rFont val="Tahoma"/>
            <family val="2"/>
          </rPr>
          <t>From ALISE:
Part IV, Line 59</t>
        </r>
        <r>
          <rPr>
            <sz val="8"/>
            <color indexed="81"/>
            <rFont val="Tahoma"/>
            <family val="2"/>
          </rPr>
          <t xml:space="preserve">
</t>
        </r>
      </text>
    </comment>
    <comment ref="U21" authorId="0" shapeId="0" xr:uid="{00000000-0006-0000-2C00-00000B000000}">
      <text>
        <r>
          <rPr>
            <b/>
            <sz val="8"/>
            <color indexed="81"/>
            <rFont val="Tahoma"/>
            <family val="2"/>
          </rPr>
          <t>From ALISE:
Part IV, Line 60</t>
        </r>
        <r>
          <rPr>
            <sz val="8"/>
            <color indexed="81"/>
            <rFont val="Tahoma"/>
            <family val="2"/>
          </rPr>
          <t xml:space="preserve">
</t>
        </r>
      </text>
    </comment>
    <comment ref="V21" authorId="0" shapeId="0" xr:uid="{00000000-0006-0000-2C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2C00-00000D000000}">
      <text>
        <r>
          <rPr>
            <b/>
            <sz val="8"/>
            <color indexed="81"/>
            <rFont val="Tahoma"/>
            <family val="2"/>
          </rPr>
          <t>From ALISE:
Part I, Item 2, Fall</t>
        </r>
        <r>
          <rPr>
            <sz val="8"/>
            <color indexed="81"/>
            <rFont val="Tahoma"/>
            <family val="2"/>
          </rPr>
          <t xml:space="preserve">
</t>
        </r>
      </text>
    </comment>
    <comment ref="C23" authorId="0" shapeId="0" xr:uid="{00000000-0006-0000-2C00-00000E000000}">
      <text>
        <r>
          <rPr>
            <b/>
            <sz val="8"/>
            <color indexed="81"/>
            <rFont val="Tahoma"/>
            <family val="2"/>
          </rPr>
          <t>From ALISE:
Part I, Item 3, Fall</t>
        </r>
        <r>
          <rPr>
            <sz val="8"/>
            <color indexed="81"/>
            <rFont val="Tahoma"/>
            <family val="2"/>
          </rPr>
          <t xml:space="preserve">
</t>
        </r>
      </text>
    </comment>
    <comment ref="I23" authorId="0" shapeId="0" xr:uid="{00000000-0006-0000-2C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2C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2C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2C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2C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2C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2C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2C00-000016000000}">
      <text>
        <r>
          <rPr>
            <b/>
            <sz val="8"/>
            <color indexed="81"/>
            <rFont val="Tahoma"/>
            <family val="2"/>
          </rPr>
          <t>From ALISE:
Part IV, Line 59</t>
        </r>
        <r>
          <rPr>
            <sz val="8"/>
            <color indexed="81"/>
            <rFont val="Tahoma"/>
            <family val="2"/>
          </rPr>
          <t xml:space="preserve">
</t>
        </r>
      </text>
    </comment>
    <comment ref="U23" authorId="0" shapeId="0" xr:uid="{00000000-0006-0000-2C00-000017000000}">
      <text>
        <r>
          <rPr>
            <b/>
            <sz val="8"/>
            <color indexed="81"/>
            <rFont val="Tahoma"/>
            <family val="2"/>
          </rPr>
          <t>From ALISE:
Part IV, Line 60</t>
        </r>
        <r>
          <rPr>
            <sz val="8"/>
            <color indexed="81"/>
            <rFont val="Tahoma"/>
            <family val="2"/>
          </rPr>
          <t xml:space="preserve">
</t>
        </r>
      </text>
    </comment>
    <comment ref="V23" authorId="0" shapeId="0" xr:uid="{00000000-0006-0000-2C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3" authorId="0" shapeId="0" xr:uid="{00000000-0006-0000-2D00-000001000000}">
      <text>
        <r>
          <rPr>
            <b/>
            <sz val="8"/>
            <color indexed="81"/>
            <rFont val="Tahoma"/>
            <family val="2"/>
          </rPr>
          <t>From ALISE:
Part I, Item 2, Fall</t>
        </r>
        <r>
          <rPr>
            <sz val="8"/>
            <color indexed="81"/>
            <rFont val="Tahoma"/>
            <family val="2"/>
          </rPr>
          <t xml:space="preserve">
</t>
        </r>
      </text>
    </comment>
    <comment ref="C23" authorId="0" shapeId="0" xr:uid="{00000000-0006-0000-2D00-000002000000}">
      <text>
        <r>
          <rPr>
            <b/>
            <sz val="8"/>
            <color indexed="81"/>
            <rFont val="Tahoma"/>
            <family val="2"/>
          </rPr>
          <t>From ALISE:
Part I, Item 3, Fall</t>
        </r>
        <r>
          <rPr>
            <sz val="8"/>
            <color indexed="81"/>
            <rFont val="Tahoma"/>
            <family val="2"/>
          </rPr>
          <t xml:space="preserve">
</t>
        </r>
      </text>
    </comment>
    <comment ref="I23" authorId="0" shapeId="0" xr:uid="{00000000-0006-0000-2D00-000003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2D00-000004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2D00-000005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2D00-000006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2D00-000007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2D00-000008000000}">
      <text>
        <r>
          <rPr>
            <b/>
            <sz val="8"/>
            <color indexed="81"/>
            <rFont val="Tahoma"/>
            <family val="2"/>
          </rPr>
          <t>From ALISE:
Part II, Table II-3, Total, ALA only</t>
        </r>
        <r>
          <rPr>
            <sz val="8"/>
            <color indexed="81"/>
            <rFont val="Tahoma"/>
            <family val="2"/>
          </rPr>
          <t xml:space="preserve">
</t>
        </r>
      </text>
    </comment>
    <comment ref="R23" authorId="0" shapeId="0" xr:uid="{00000000-0006-0000-2D00-000009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2D00-00000A000000}">
      <text>
        <r>
          <rPr>
            <b/>
            <sz val="8"/>
            <color indexed="81"/>
            <rFont val="Tahoma"/>
            <family val="2"/>
          </rPr>
          <t>From ALISE:
Part IV, Line 59</t>
        </r>
        <r>
          <rPr>
            <sz val="8"/>
            <color indexed="81"/>
            <rFont val="Tahoma"/>
            <family val="2"/>
          </rPr>
          <t xml:space="preserve">
</t>
        </r>
      </text>
    </comment>
    <comment ref="U23" authorId="0" shapeId="0" xr:uid="{00000000-0006-0000-2D00-00000B000000}">
      <text>
        <r>
          <rPr>
            <b/>
            <sz val="8"/>
            <color indexed="81"/>
            <rFont val="Tahoma"/>
            <family val="2"/>
          </rPr>
          <t>From ALISE:
Part IV, Line 60</t>
        </r>
        <r>
          <rPr>
            <sz val="8"/>
            <color indexed="81"/>
            <rFont val="Tahoma"/>
            <family val="2"/>
          </rPr>
          <t xml:space="preserve">
</t>
        </r>
      </text>
    </comment>
    <comment ref="V23" authorId="0" shapeId="0" xr:uid="{00000000-0006-0000-2D00-00000C000000}">
      <text>
        <r>
          <rPr>
            <b/>
            <sz val="8"/>
            <color indexed="81"/>
            <rFont val="Tahoma"/>
            <family val="2"/>
          </rPr>
          <t>From ALISE:
Part IV, Total lines 61, 62, 63, 64, and 68</t>
        </r>
        <r>
          <rPr>
            <sz val="8"/>
            <color indexed="81"/>
            <rFont val="Tahoma"/>
            <family val="2"/>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2E00-000001000000}">
      <text>
        <r>
          <rPr>
            <b/>
            <sz val="8"/>
            <color indexed="81"/>
            <rFont val="Tahoma"/>
            <family val="2"/>
          </rPr>
          <t>From ALISE:
Part I, Item 2, Fall</t>
        </r>
        <r>
          <rPr>
            <sz val="8"/>
            <color indexed="81"/>
            <rFont val="Tahoma"/>
            <family val="2"/>
          </rPr>
          <t xml:space="preserve">
</t>
        </r>
      </text>
    </comment>
    <comment ref="C21" authorId="0" shapeId="0" xr:uid="{00000000-0006-0000-2E00-000002000000}">
      <text>
        <r>
          <rPr>
            <b/>
            <sz val="8"/>
            <color indexed="81"/>
            <rFont val="Tahoma"/>
            <family val="2"/>
          </rPr>
          <t>From ALISE:
Part I, Item 3, Fall</t>
        </r>
        <r>
          <rPr>
            <sz val="8"/>
            <color indexed="81"/>
            <rFont val="Tahoma"/>
            <family val="2"/>
          </rPr>
          <t xml:space="preserve">
</t>
        </r>
      </text>
    </comment>
    <comment ref="I21" authorId="0" shapeId="0" xr:uid="{00000000-0006-0000-2E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2E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2E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2E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2E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2E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2E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2E00-00000A000000}">
      <text>
        <r>
          <rPr>
            <b/>
            <sz val="8"/>
            <color indexed="81"/>
            <rFont val="Tahoma"/>
            <family val="2"/>
          </rPr>
          <t>From ALISE:
Part IV, Line 59</t>
        </r>
        <r>
          <rPr>
            <sz val="8"/>
            <color indexed="81"/>
            <rFont val="Tahoma"/>
            <family val="2"/>
          </rPr>
          <t xml:space="preserve">
</t>
        </r>
      </text>
    </comment>
    <comment ref="U21" authorId="0" shapeId="0" xr:uid="{00000000-0006-0000-2E00-00000B000000}">
      <text>
        <r>
          <rPr>
            <b/>
            <sz val="8"/>
            <color indexed="81"/>
            <rFont val="Tahoma"/>
            <family val="2"/>
          </rPr>
          <t>From ALISE:
Part IV, Line 60</t>
        </r>
        <r>
          <rPr>
            <sz val="8"/>
            <color indexed="81"/>
            <rFont val="Tahoma"/>
            <family val="2"/>
          </rPr>
          <t xml:space="preserve">
</t>
        </r>
      </text>
    </comment>
    <comment ref="V21" authorId="0" shapeId="0" xr:uid="{00000000-0006-0000-2E00-00000C000000}">
      <text>
        <r>
          <rPr>
            <b/>
            <sz val="8"/>
            <color indexed="81"/>
            <rFont val="Tahoma"/>
            <family val="2"/>
          </rPr>
          <t>From ALISE:
Part IV, Total lines 61, 62, 63, 64, and 68</t>
        </r>
        <r>
          <rPr>
            <sz val="8"/>
            <color indexed="81"/>
            <rFont val="Tahoma"/>
            <family val="2"/>
          </rPr>
          <t xml:space="preserve">
</t>
        </r>
      </text>
    </comment>
    <comment ref="B22" authorId="0" shapeId="0" xr:uid="{00000000-0006-0000-2E00-00000D000000}">
      <text>
        <r>
          <rPr>
            <b/>
            <sz val="8"/>
            <color indexed="81"/>
            <rFont val="Tahoma"/>
            <family val="2"/>
          </rPr>
          <t>From ALISE:
Part I, Item 2, Fall</t>
        </r>
        <r>
          <rPr>
            <sz val="8"/>
            <color indexed="81"/>
            <rFont val="Tahoma"/>
            <family val="2"/>
          </rPr>
          <t xml:space="preserve">
</t>
        </r>
      </text>
    </comment>
    <comment ref="C22" authorId="0" shapeId="0" xr:uid="{00000000-0006-0000-2E00-00000E000000}">
      <text>
        <r>
          <rPr>
            <b/>
            <sz val="8"/>
            <color indexed="81"/>
            <rFont val="Tahoma"/>
            <family val="2"/>
          </rPr>
          <t>From ALISE:
Part I, Item 3, Fall</t>
        </r>
        <r>
          <rPr>
            <sz val="8"/>
            <color indexed="81"/>
            <rFont val="Tahoma"/>
            <family val="2"/>
          </rPr>
          <t xml:space="preserve">
</t>
        </r>
      </text>
    </comment>
    <comment ref="I22" authorId="0" shapeId="0" xr:uid="{00000000-0006-0000-2E00-00000F000000}">
      <text>
        <r>
          <rPr>
            <b/>
            <sz val="8"/>
            <color indexed="81"/>
            <rFont val="Tahoma"/>
            <family val="2"/>
          </rPr>
          <t>From ALISE:
Part II, Table II-1,
Total  Full-time,
ALA only</t>
        </r>
        <r>
          <rPr>
            <sz val="8"/>
            <color indexed="81"/>
            <rFont val="Tahoma"/>
            <family val="2"/>
          </rPr>
          <t xml:space="preserve">
</t>
        </r>
      </text>
    </comment>
    <comment ref="J22" authorId="0" shapeId="0" xr:uid="{00000000-0006-0000-2E00-000010000000}">
      <text>
        <r>
          <rPr>
            <b/>
            <sz val="8"/>
            <color indexed="81"/>
            <rFont val="Tahoma"/>
            <family val="2"/>
          </rPr>
          <t>From ALISE:
Part II, Table II-1,
Total No. Part-time,
ALA only</t>
        </r>
        <r>
          <rPr>
            <sz val="8"/>
            <color indexed="81"/>
            <rFont val="Tahoma"/>
            <family val="2"/>
          </rPr>
          <t xml:space="preserve">
</t>
        </r>
      </text>
    </comment>
    <comment ref="L22" authorId="0" shapeId="0" xr:uid="{00000000-0006-0000-2E00-000011000000}">
      <text>
        <r>
          <rPr>
            <b/>
            <sz val="8"/>
            <color indexed="81"/>
            <rFont val="Tahoma"/>
            <family val="2"/>
          </rPr>
          <t xml:space="preserve">From ALISE:
Part II, Table II-1,
Total Part-Time FTE, ALA only
</t>
        </r>
        <r>
          <rPr>
            <sz val="8"/>
            <color indexed="81"/>
            <rFont val="Tahoma"/>
            <family val="2"/>
          </rPr>
          <t xml:space="preserve">
</t>
        </r>
      </text>
    </comment>
    <comment ref="N22" authorId="0" shapeId="0" xr:uid="{00000000-0006-0000-2E00-000012000000}">
      <text>
        <r>
          <rPr>
            <b/>
            <sz val="8"/>
            <color indexed="81"/>
            <rFont val="Tahoma"/>
            <family val="2"/>
          </rPr>
          <t xml:space="preserve">From ALISE:
Part II, Table 11-4, Total AI, AP, B, and H,
ALA only  </t>
        </r>
        <r>
          <rPr>
            <sz val="8"/>
            <color indexed="81"/>
            <rFont val="Tahoma"/>
            <family val="2"/>
          </rPr>
          <t xml:space="preserve">
</t>
        </r>
      </text>
    </comment>
    <comment ref="O22" authorId="0" shapeId="0" xr:uid="{00000000-0006-0000-2E00-000013000000}">
      <text>
        <r>
          <rPr>
            <b/>
            <sz val="8"/>
            <color indexed="81"/>
            <rFont val="Tahoma"/>
            <family val="2"/>
          </rPr>
          <t>From ALISE:
Part II, Table II-1, Total FTE, all programs</t>
        </r>
        <r>
          <rPr>
            <sz val="8"/>
            <color indexed="81"/>
            <rFont val="Tahoma"/>
            <family val="2"/>
          </rPr>
          <t xml:space="preserve">
</t>
        </r>
      </text>
    </comment>
    <comment ref="Q22" authorId="0" shapeId="0" xr:uid="{00000000-0006-0000-2E00-000014000000}">
      <text>
        <r>
          <rPr>
            <b/>
            <sz val="8"/>
            <color indexed="81"/>
            <rFont val="Tahoma"/>
            <family val="2"/>
          </rPr>
          <t>From ALISE:
Part II, Table II-3, Total, ALA only</t>
        </r>
        <r>
          <rPr>
            <sz val="8"/>
            <color indexed="81"/>
            <rFont val="Tahoma"/>
            <family val="2"/>
          </rPr>
          <t xml:space="preserve">
</t>
        </r>
      </text>
    </comment>
    <comment ref="R22" authorId="0" shapeId="0" xr:uid="{00000000-0006-0000-2E00-000015000000}">
      <text>
        <r>
          <rPr>
            <b/>
            <sz val="8"/>
            <color indexed="81"/>
            <rFont val="Tahoma"/>
            <family val="2"/>
          </rPr>
          <t>From ALISE:
Part II, Table II-3, Total all other programs</t>
        </r>
        <r>
          <rPr>
            <sz val="8"/>
            <color indexed="81"/>
            <rFont val="Tahoma"/>
            <family val="2"/>
          </rPr>
          <t xml:space="preserve">
</t>
        </r>
      </text>
    </comment>
    <comment ref="S22" authorId="0" shapeId="0" xr:uid="{00000000-0006-0000-2E00-000016000000}">
      <text>
        <r>
          <rPr>
            <b/>
            <sz val="8"/>
            <color indexed="81"/>
            <rFont val="Tahoma"/>
            <family val="2"/>
          </rPr>
          <t>From ALISE:
Part IV, Line 59</t>
        </r>
        <r>
          <rPr>
            <sz val="8"/>
            <color indexed="81"/>
            <rFont val="Tahoma"/>
            <family val="2"/>
          </rPr>
          <t xml:space="preserve">
</t>
        </r>
      </text>
    </comment>
    <comment ref="U22" authorId="0" shapeId="0" xr:uid="{00000000-0006-0000-2E00-000017000000}">
      <text>
        <r>
          <rPr>
            <b/>
            <sz val="8"/>
            <color indexed="81"/>
            <rFont val="Tahoma"/>
            <family val="2"/>
          </rPr>
          <t>From ALISE:
Part IV, Line 60</t>
        </r>
        <r>
          <rPr>
            <sz val="8"/>
            <color indexed="81"/>
            <rFont val="Tahoma"/>
            <family val="2"/>
          </rPr>
          <t xml:space="preserve">
</t>
        </r>
      </text>
    </comment>
    <comment ref="V22" authorId="0" shapeId="0" xr:uid="{00000000-0006-0000-2E00-000018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2E00-000019000000}">
      <text>
        <r>
          <rPr>
            <b/>
            <sz val="8"/>
            <color indexed="81"/>
            <rFont val="Tahoma"/>
            <family val="2"/>
          </rPr>
          <t>From ALISE:
Part I, Item 2, Fall</t>
        </r>
        <r>
          <rPr>
            <sz val="8"/>
            <color indexed="81"/>
            <rFont val="Tahoma"/>
            <family val="2"/>
          </rPr>
          <t xml:space="preserve">
</t>
        </r>
      </text>
    </comment>
    <comment ref="C23" authorId="0" shapeId="0" xr:uid="{00000000-0006-0000-2E00-00001A000000}">
      <text>
        <r>
          <rPr>
            <b/>
            <sz val="8"/>
            <color indexed="81"/>
            <rFont val="Tahoma"/>
            <family val="2"/>
          </rPr>
          <t>From ALISE:
Part I, Item 3, Fall</t>
        </r>
        <r>
          <rPr>
            <sz val="8"/>
            <color indexed="81"/>
            <rFont val="Tahoma"/>
            <family val="2"/>
          </rPr>
          <t xml:space="preserve">
</t>
        </r>
      </text>
    </comment>
    <comment ref="I23" authorId="0" shapeId="0" xr:uid="{00000000-0006-0000-2E00-00001B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2E00-00001C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2E00-00001D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2E00-00001E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2E00-00001F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2E00-000020000000}">
      <text>
        <r>
          <rPr>
            <b/>
            <sz val="8"/>
            <color indexed="81"/>
            <rFont val="Tahoma"/>
            <family val="2"/>
          </rPr>
          <t>From ALISE:
Part II, Table II-3, Total, ALA only</t>
        </r>
        <r>
          <rPr>
            <sz val="8"/>
            <color indexed="81"/>
            <rFont val="Tahoma"/>
            <family val="2"/>
          </rPr>
          <t xml:space="preserve">
</t>
        </r>
      </text>
    </comment>
    <comment ref="R23" authorId="0" shapeId="0" xr:uid="{00000000-0006-0000-2E00-000021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2E00-000022000000}">
      <text>
        <r>
          <rPr>
            <b/>
            <sz val="8"/>
            <color indexed="81"/>
            <rFont val="Tahoma"/>
            <family val="2"/>
          </rPr>
          <t>From ALISE:
Part IV, Line 59</t>
        </r>
        <r>
          <rPr>
            <sz val="8"/>
            <color indexed="81"/>
            <rFont val="Tahoma"/>
            <family val="2"/>
          </rPr>
          <t xml:space="preserve">
</t>
        </r>
      </text>
    </comment>
    <comment ref="U23" authorId="0" shapeId="0" xr:uid="{00000000-0006-0000-2E00-000023000000}">
      <text>
        <r>
          <rPr>
            <b/>
            <sz val="8"/>
            <color indexed="81"/>
            <rFont val="Tahoma"/>
            <family val="2"/>
          </rPr>
          <t>From ALISE:
Part IV, Line 60</t>
        </r>
        <r>
          <rPr>
            <sz val="8"/>
            <color indexed="81"/>
            <rFont val="Tahoma"/>
            <family val="2"/>
          </rPr>
          <t xml:space="preserve">
</t>
        </r>
      </text>
    </comment>
    <comment ref="V23" authorId="0" shapeId="0" xr:uid="{00000000-0006-0000-2E00-000024000000}">
      <text>
        <r>
          <rPr>
            <b/>
            <sz val="8"/>
            <color indexed="81"/>
            <rFont val="Tahoma"/>
            <family val="2"/>
          </rPr>
          <t>From ALISE:
Part IV, Total lines 61, 62, 63, 64, and 68</t>
        </r>
        <r>
          <rPr>
            <sz val="8"/>
            <color indexed="81"/>
            <rFont val="Tahoma"/>
            <family val="2"/>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tc={0DF3DA48-4444-4E8C-A6BA-233A627C7E00}</author>
    <author>Karen O'Brien</author>
  </authors>
  <commentList>
    <comment ref="R6" authorId="0" shapeId="0" xr:uid="{0DF3DA48-4444-4E8C-A6BA-233A627C7E00}">
      <text>
        <t>[Threaded comment]
Your version of Excel allows you to read this threaded comment; however, any edits to it will get removed if the file is opened in a newer version of Excel. Learn more: https://go.microsoft.com/fwlink/?linkid=870924
Comment:
    2019: Column O - This number is lower because the Health Sciences undergraduate program moved to the College of Public Health.</t>
      </text>
    </comment>
    <comment ref="B21" authorId="1" shapeId="0" xr:uid="{00000000-0006-0000-2F00-000001000000}">
      <text>
        <r>
          <rPr>
            <b/>
            <sz val="8"/>
            <color indexed="81"/>
            <rFont val="Tahoma"/>
            <family val="2"/>
          </rPr>
          <t>From ALISE:
Part I, Item 2, Fall</t>
        </r>
        <r>
          <rPr>
            <sz val="8"/>
            <color indexed="81"/>
            <rFont val="Tahoma"/>
            <family val="2"/>
          </rPr>
          <t xml:space="preserve">
</t>
        </r>
      </text>
    </comment>
    <comment ref="C21" authorId="1" shapeId="0" xr:uid="{00000000-0006-0000-2F00-000002000000}">
      <text>
        <r>
          <rPr>
            <b/>
            <sz val="8"/>
            <color indexed="81"/>
            <rFont val="Tahoma"/>
            <family val="2"/>
          </rPr>
          <t>From ALISE:
Part I, Item 3, Fall</t>
        </r>
        <r>
          <rPr>
            <sz val="8"/>
            <color indexed="81"/>
            <rFont val="Tahoma"/>
            <family val="2"/>
          </rPr>
          <t xml:space="preserve">
</t>
        </r>
      </text>
    </comment>
    <comment ref="I21" authorId="1" shapeId="0" xr:uid="{00000000-0006-0000-2F00-000003000000}">
      <text>
        <r>
          <rPr>
            <b/>
            <sz val="8"/>
            <color indexed="81"/>
            <rFont val="Tahoma"/>
            <family val="2"/>
          </rPr>
          <t>From ALISE:
Part II, Table II-1,
Total  Full-time,
ALA only</t>
        </r>
        <r>
          <rPr>
            <sz val="8"/>
            <color indexed="81"/>
            <rFont val="Tahoma"/>
            <family val="2"/>
          </rPr>
          <t xml:space="preserve">
</t>
        </r>
      </text>
    </comment>
    <comment ref="J21" authorId="1" shapeId="0" xr:uid="{00000000-0006-0000-2F00-000004000000}">
      <text>
        <r>
          <rPr>
            <b/>
            <sz val="8"/>
            <color indexed="81"/>
            <rFont val="Tahoma"/>
            <family val="2"/>
          </rPr>
          <t>From ALISE:
Part II, Table II-1,
Total No. Part-time,
ALA only</t>
        </r>
        <r>
          <rPr>
            <sz val="8"/>
            <color indexed="81"/>
            <rFont val="Tahoma"/>
            <family val="2"/>
          </rPr>
          <t xml:space="preserve">
</t>
        </r>
      </text>
    </comment>
    <comment ref="L21" authorId="1" shapeId="0" xr:uid="{00000000-0006-0000-2F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1" shapeId="0" xr:uid="{00000000-0006-0000-2F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1" shapeId="0" xr:uid="{00000000-0006-0000-2F00-000007000000}">
      <text>
        <r>
          <rPr>
            <b/>
            <sz val="8"/>
            <color indexed="81"/>
            <rFont val="Tahoma"/>
            <family val="2"/>
          </rPr>
          <t>From ALISE:
Part II, Table II-1, Total FTE, all programs</t>
        </r>
        <r>
          <rPr>
            <sz val="8"/>
            <color indexed="81"/>
            <rFont val="Tahoma"/>
            <family val="2"/>
          </rPr>
          <t xml:space="preserve">
</t>
        </r>
      </text>
    </comment>
    <comment ref="Q21" authorId="1" shapeId="0" xr:uid="{00000000-0006-0000-2F00-000008000000}">
      <text>
        <r>
          <rPr>
            <b/>
            <sz val="8"/>
            <color indexed="81"/>
            <rFont val="Tahoma"/>
            <family val="2"/>
          </rPr>
          <t>From ALISE:
Part II, Table II-3, Total, ALA only</t>
        </r>
        <r>
          <rPr>
            <sz val="8"/>
            <color indexed="81"/>
            <rFont val="Tahoma"/>
            <family val="2"/>
          </rPr>
          <t xml:space="preserve">
</t>
        </r>
      </text>
    </comment>
    <comment ref="R21" authorId="1" shapeId="0" xr:uid="{00000000-0006-0000-2F00-000009000000}">
      <text>
        <r>
          <rPr>
            <b/>
            <sz val="8"/>
            <color indexed="81"/>
            <rFont val="Tahoma"/>
            <family val="2"/>
          </rPr>
          <t>From ALISE:
Part II, Table II-3, Total all other programs</t>
        </r>
        <r>
          <rPr>
            <sz val="8"/>
            <color indexed="81"/>
            <rFont val="Tahoma"/>
            <family val="2"/>
          </rPr>
          <t xml:space="preserve">
</t>
        </r>
      </text>
    </comment>
    <comment ref="S21" authorId="1" shapeId="0" xr:uid="{00000000-0006-0000-2F00-00000A000000}">
      <text>
        <r>
          <rPr>
            <b/>
            <sz val="8"/>
            <color indexed="81"/>
            <rFont val="Tahoma"/>
            <family val="2"/>
          </rPr>
          <t>From ALISE:
Part IV, Line 59</t>
        </r>
        <r>
          <rPr>
            <sz val="8"/>
            <color indexed="81"/>
            <rFont val="Tahoma"/>
            <family val="2"/>
          </rPr>
          <t xml:space="preserve">
</t>
        </r>
      </text>
    </comment>
    <comment ref="U21" authorId="1" shapeId="0" xr:uid="{00000000-0006-0000-2F00-00000B000000}">
      <text>
        <r>
          <rPr>
            <b/>
            <sz val="8"/>
            <color indexed="81"/>
            <rFont val="Tahoma"/>
            <family val="2"/>
          </rPr>
          <t>From ALISE:
Part IV, Line 60</t>
        </r>
        <r>
          <rPr>
            <sz val="8"/>
            <color indexed="81"/>
            <rFont val="Tahoma"/>
            <family val="2"/>
          </rPr>
          <t xml:space="preserve">
</t>
        </r>
      </text>
    </comment>
    <comment ref="V21" authorId="1" shapeId="0" xr:uid="{00000000-0006-0000-2F00-00000C000000}">
      <text>
        <r>
          <rPr>
            <b/>
            <sz val="8"/>
            <color indexed="81"/>
            <rFont val="Tahoma"/>
            <family val="2"/>
          </rPr>
          <t>From ALISE:
Part IV, Total lines 61, 62, 63, 64, and 68</t>
        </r>
        <r>
          <rPr>
            <sz val="8"/>
            <color indexed="81"/>
            <rFont val="Tahoma"/>
            <family val="2"/>
          </rPr>
          <t xml:space="preserve">
</t>
        </r>
      </text>
    </comment>
    <comment ref="B22" authorId="1" shapeId="0" xr:uid="{00000000-0006-0000-2F00-00000D000000}">
      <text>
        <r>
          <rPr>
            <b/>
            <sz val="8"/>
            <color indexed="81"/>
            <rFont val="Tahoma"/>
            <family val="2"/>
          </rPr>
          <t>From ALISE:
Part I, Item 2, Fall</t>
        </r>
        <r>
          <rPr>
            <sz val="8"/>
            <color indexed="81"/>
            <rFont val="Tahoma"/>
            <family val="2"/>
          </rPr>
          <t xml:space="preserve">
</t>
        </r>
      </text>
    </comment>
    <comment ref="C22" authorId="1" shapeId="0" xr:uid="{00000000-0006-0000-2F00-00000E000000}">
      <text>
        <r>
          <rPr>
            <b/>
            <sz val="8"/>
            <color indexed="81"/>
            <rFont val="Tahoma"/>
            <family val="2"/>
          </rPr>
          <t>From ALISE:
Part I, Item 3, Fall</t>
        </r>
        <r>
          <rPr>
            <sz val="8"/>
            <color indexed="81"/>
            <rFont val="Tahoma"/>
            <family val="2"/>
          </rPr>
          <t xml:space="preserve">
</t>
        </r>
      </text>
    </comment>
    <comment ref="I22" authorId="1" shapeId="0" xr:uid="{00000000-0006-0000-2F00-00000F000000}">
      <text>
        <r>
          <rPr>
            <b/>
            <sz val="8"/>
            <color indexed="81"/>
            <rFont val="Tahoma"/>
            <family val="2"/>
          </rPr>
          <t>From ALISE:
Part II, Table II-1,
Total  Full-time,
ALA only</t>
        </r>
        <r>
          <rPr>
            <sz val="8"/>
            <color indexed="81"/>
            <rFont val="Tahoma"/>
            <family val="2"/>
          </rPr>
          <t xml:space="preserve">
</t>
        </r>
      </text>
    </comment>
    <comment ref="J22" authorId="1" shapeId="0" xr:uid="{00000000-0006-0000-2F00-000010000000}">
      <text>
        <r>
          <rPr>
            <b/>
            <sz val="8"/>
            <color indexed="81"/>
            <rFont val="Tahoma"/>
            <family val="2"/>
          </rPr>
          <t>From ALISE:
Part II, Table II-1,
Total No. Part-time,
ALA only</t>
        </r>
        <r>
          <rPr>
            <sz val="8"/>
            <color indexed="81"/>
            <rFont val="Tahoma"/>
            <family val="2"/>
          </rPr>
          <t xml:space="preserve">
</t>
        </r>
      </text>
    </comment>
    <comment ref="L22" authorId="1" shapeId="0" xr:uid="{00000000-0006-0000-2F00-000011000000}">
      <text>
        <r>
          <rPr>
            <b/>
            <sz val="8"/>
            <color indexed="81"/>
            <rFont val="Tahoma"/>
            <family val="2"/>
          </rPr>
          <t xml:space="preserve">From ALISE:
Part II, Table II-1,
Total Part-Time FTE, ALA only
</t>
        </r>
        <r>
          <rPr>
            <sz val="8"/>
            <color indexed="81"/>
            <rFont val="Tahoma"/>
            <family val="2"/>
          </rPr>
          <t xml:space="preserve">
</t>
        </r>
      </text>
    </comment>
    <comment ref="N22" authorId="1" shapeId="0" xr:uid="{00000000-0006-0000-2F00-000012000000}">
      <text>
        <r>
          <rPr>
            <b/>
            <sz val="8"/>
            <color indexed="81"/>
            <rFont val="Tahoma"/>
            <family val="2"/>
          </rPr>
          <t xml:space="preserve">From ALISE:
Part II, Table 11-4, Total AI, AP, B, and H,
ALA only  </t>
        </r>
        <r>
          <rPr>
            <sz val="8"/>
            <color indexed="81"/>
            <rFont val="Tahoma"/>
            <family val="2"/>
          </rPr>
          <t xml:space="preserve">
</t>
        </r>
      </text>
    </comment>
    <comment ref="O22" authorId="1" shapeId="0" xr:uid="{00000000-0006-0000-2F00-000013000000}">
      <text>
        <r>
          <rPr>
            <b/>
            <sz val="8"/>
            <color indexed="81"/>
            <rFont val="Tahoma"/>
            <family val="2"/>
          </rPr>
          <t>From ALISE:
Part II, Table II-1, Total FTE, all programs</t>
        </r>
        <r>
          <rPr>
            <sz val="8"/>
            <color indexed="81"/>
            <rFont val="Tahoma"/>
            <family val="2"/>
          </rPr>
          <t xml:space="preserve">
</t>
        </r>
      </text>
    </comment>
    <comment ref="Q22" authorId="1" shapeId="0" xr:uid="{00000000-0006-0000-2F00-000014000000}">
      <text>
        <r>
          <rPr>
            <b/>
            <sz val="8"/>
            <color indexed="81"/>
            <rFont val="Tahoma"/>
            <family val="2"/>
          </rPr>
          <t>From ALISE:
Part II, Table II-3, Total, ALA only</t>
        </r>
        <r>
          <rPr>
            <sz val="8"/>
            <color indexed="81"/>
            <rFont val="Tahoma"/>
            <family val="2"/>
          </rPr>
          <t xml:space="preserve">
</t>
        </r>
      </text>
    </comment>
    <comment ref="R22" authorId="1" shapeId="0" xr:uid="{00000000-0006-0000-2F00-000015000000}">
      <text>
        <r>
          <rPr>
            <b/>
            <sz val="8"/>
            <color indexed="81"/>
            <rFont val="Tahoma"/>
            <family val="2"/>
          </rPr>
          <t>From ALISE:
Part II, Table II-3, Total all other programs</t>
        </r>
        <r>
          <rPr>
            <sz val="8"/>
            <color indexed="81"/>
            <rFont val="Tahoma"/>
            <family val="2"/>
          </rPr>
          <t xml:space="preserve">
</t>
        </r>
      </text>
    </comment>
    <comment ref="S22" authorId="1" shapeId="0" xr:uid="{00000000-0006-0000-2F00-000016000000}">
      <text>
        <r>
          <rPr>
            <b/>
            <sz val="8"/>
            <color indexed="81"/>
            <rFont val="Tahoma"/>
            <family val="2"/>
          </rPr>
          <t>From ALISE:
Part IV, Line 59</t>
        </r>
        <r>
          <rPr>
            <sz val="8"/>
            <color indexed="81"/>
            <rFont val="Tahoma"/>
            <family val="2"/>
          </rPr>
          <t xml:space="preserve">
</t>
        </r>
      </text>
    </comment>
    <comment ref="U22" authorId="1" shapeId="0" xr:uid="{00000000-0006-0000-2F00-000017000000}">
      <text>
        <r>
          <rPr>
            <b/>
            <sz val="8"/>
            <color indexed="81"/>
            <rFont val="Tahoma"/>
            <family val="2"/>
          </rPr>
          <t>From ALISE:
Part IV, Line 60</t>
        </r>
        <r>
          <rPr>
            <sz val="8"/>
            <color indexed="81"/>
            <rFont val="Tahoma"/>
            <family val="2"/>
          </rPr>
          <t xml:space="preserve">
</t>
        </r>
      </text>
    </comment>
    <comment ref="V22" authorId="1" shapeId="0" xr:uid="{00000000-0006-0000-2F00-000018000000}">
      <text>
        <r>
          <rPr>
            <b/>
            <sz val="8"/>
            <color indexed="81"/>
            <rFont val="Tahoma"/>
            <family val="2"/>
          </rPr>
          <t>From ALISE:
Part IV, Total lines 61, 62, 63, 64, and 68</t>
        </r>
        <r>
          <rPr>
            <sz val="8"/>
            <color indexed="81"/>
            <rFont val="Tahoma"/>
            <family val="2"/>
          </rPr>
          <t xml:space="preserve">
</t>
        </r>
      </text>
    </comment>
    <comment ref="B23" authorId="1" shapeId="0" xr:uid="{00000000-0006-0000-2F00-000019000000}">
      <text>
        <r>
          <rPr>
            <b/>
            <sz val="8"/>
            <color indexed="81"/>
            <rFont val="Tahoma"/>
            <family val="2"/>
          </rPr>
          <t>From ALISE:
Part I, Item 2, Fall</t>
        </r>
        <r>
          <rPr>
            <sz val="8"/>
            <color indexed="81"/>
            <rFont val="Tahoma"/>
            <family val="2"/>
          </rPr>
          <t xml:space="preserve">
</t>
        </r>
      </text>
    </comment>
    <comment ref="C23" authorId="1" shapeId="0" xr:uid="{00000000-0006-0000-2F00-00001A000000}">
      <text>
        <r>
          <rPr>
            <b/>
            <sz val="8"/>
            <color indexed="81"/>
            <rFont val="Tahoma"/>
            <family val="2"/>
          </rPr>
          <t>From ALISE:
Part I, Item 3, Fall</t>
        </r>
        <r>
          <rPr>
            <sz val="8"/>
            <color indexed="81"/>
            <rFont val="Tahoma"/>
            <family val="2"/>
          </rPr>
          <t xml:space="preserve">
</t>
        </r>
      </text>
    </comment>
    <comment ref="I23" authorId="1" shapeId="0" xr:uid="{00000000-0006-0000-2F00-00001B000000}">
      <text>
        <r>
          <rPr>
            <b/>
            <sz val="8"/>
            <color indexed="81"/>
            <rFont val="Tahoma"/>
            <family val="2"/>
          </rPr>
          <t>From ALISE:
Part II, Table II-1,
Total  Full-time,
ALA only</t>
        </r>
        <r>
          <rPr>
            <sz val="8"/>
            <color indexed="81"/>
            <rFont val="Tahoma"/>
            <family val="2"/>
          </rPr>
          <t xml:space="preserve">
</t>
        </r>
      </text>
    </comment>
    <comment ref="J23" authorId="1" shapeId="0" xr:uid="{00000000-0006-0000-2F00-00001C000000}">
      <text>
        <r>
          <rPr>
            <b/>
            <sz val="8"/>
            <color indexed="81"/>
            <rFont val="Tahoma"/>
            <family val="2"/>
          </rPr>
          <t>From ALISE:
Part II, Table II-1,
Total No. Part-time,
ALA only</t>
        </r>
        <r>
          <rPr>
            <sz val="8"/>
            <color indexed="81"/>
            <rFont val="Tahoma"/>
            <family val="2"/>
          </rPr>
          <t xml:space="preserve">
</t>
        </r>
      </text>
    </comment>
    <comment ref="L23" authorId="1" shapeId="0" xr:uid="{00000000-0006-0000-2F00-00001D000000}">
      <text>
        <r>
          <rPr>
            <b/>
            <sz val="8"/>
            <color indexed="81"/>
            <rFont val="Tahoma"/>
            <family val="2"/>
          </rPr>
          <t xml:space="preserve">From ALISE:
Part II, Table II-1,
Total Part-Time FTE, ALA only
</t>
        </r>
        <r>
          <rPr>
            <sz val="8"/>
            <color indexed="81"/>
            <rFont val="Tahoma"/>
            <family val="2"/>
          </rPr>
          <t xml:space="preserve">
</t>
        </r>
      </text>
    </comment>
    <comment ref="N23" authorId="1" shapeId="0" xr:uid="{00000000-0006-0000-2F00-00001E000000}">
      <text>
        <r>
          <rPr>
            <b/>
            <sz val="8"/>
            <color indexed="81"/>
            <rFont val="Tahoma"/>
            <family val="2"/>
          </rPr>
          <t xml:space="preserve">From ALISE:
Part II, Table 11-4, Total AI, AP, B, and H,
ALA only  </t>
        </r>
        <r>
          <rPr>
            <sz val="8"/>
            <color indexed="81"/>
            <rFont val="Tahoma"/>
            <family val="2"/>
          </rPr>
          <t xml:space="preserve">
</t>
        </r>
      </text>
    </comment>
    <comment ref="O23" authorId="1" shapeId="0" xr:uid="{00000000-0006-0000-2F00-00001F000000}">
      <text>
        <r>
          <rPr>
            <b/>
            <sz val="8"/>
            <color indexed="81"/>
            <rFont val="Tahoma"/>
            <family val="2"/>
          </rPr>
          <t>From ALISE:
Part II, Table II-1, Total FTE, all programs</t>
        </r>
        <r>
          <rPr>
            <sz val="8"/>
            <color indexed="81"/>
            <rFont val="Tahoma"/>
            <family val="2"/>
          </rPr>
          <t xml:space="preserve">
</t>
        </r>
      </text>
    </comment>
    <comment ref="Q23" authorId="1" shapeId="0" xr:uid="{00000000-0006-0000-2F00-000020000000}">
      <text>
        <r>
          <rPr>
            <b/>
            <sz val="8"/>
            <color indexed="81"/>
            <rFont val="Tahoma"/>
            <family val="2"/>
          </rPr>
          <t>From ALISE:
Part II, Table II-3, Total, ALA only</t>
        </r>
        <r>
          <rPr>
            <sz val="8"/>
            <color indexed="81"/>
            <rFont val="Tahoma"/>
            <family val="2"/>
          </rPr>
          <t xml:space="preserve">
</t>
        </r>
      </text>
    </comment>
    <comment ref="R23" authorId="1" shapeId="0" xr:uid="{00000000-0006-0000-2F00-000021000000}">
      <text>
        <r>
          <rPr>
            <b/>
            <sz val="8"/>
            <color indexed="81"/>
            <rFont val="Tahoma"/>
            <family val="2"/>
          </rPr>
          <t>From ALISE:
Part II, Table II-3, Total all other programs</t>
        </r>
        <r>
          <rPr>
            <sz val="8"/>
            <color indexed="81"/>
            <rFont val="Tahoma"/>
            <family val="2"/>
          </rPr>
          <t xml:space="preserve">
</t>
        </r>
      </text>
    </comment>
    <comment ref="S23" authorId="1" shapeId="0" xr:uid="{00000000-0006-0000-2F00-000022000000}">
      <text>
        <r>
          <rPr>
            <b/>
            <sz val="8"/>
            <color indexed="81"/>
            <rFont val="Tahoma"/>
            <family val="2"/>
          </rPr>
          <t>From ALISE:
Part IV, Line 59</t>
        </r>
        <r>
          <rPr>
            <sz val="8"/>
            <color indexed="81"/>
            <rFont val="Tahoma"/>
            <family val="2"/>
          </rPr>
          <t xml:space="preserve">
</t>
        </r>
      </text>
    </comment>
    <comment ref="U23" authorId="1" shapeId="0" xr:uid="{00000000-0006-0000-2F00-000023000000}">
      <text>
        <r>
          <rPr>
            <b/>
            <sz val="8"/>
            <color indexed="81"/>
            <rFont val="Tahoma"/>
            <family val="2"/>
          </rPr>
          <t>From ALISE:
Part IV, Line 60</t>
        </r>
        <r>
          <rPr>
            <sz val="8"/>
            <color indexed="81"/>
            <rFont val="Tahoma"/>
            <family val="2"/>
          </rPr>
          <t xml:space="preserve">
</t>
        </r>
      </text>
    </comment>
    <comment ref="V23" authorId="1" shapeId="0" xr:uid="{00000000-0006-0000-2F00-000024000000}">
      <text>
        <r>
          <rPr>
            <b/>
            <sz val="8"/>
            <color indexed="81"/>
            <rFont val="Tahoma"/>
            <family val="2"/>
          </rPr>
          <t>From ALISE:
Part IV, Total lines 61, 62, 63, 64, and 68</t>
        </r>
        <r>
          <rPr>
            <sz val="8"/>
            <color indexed="81"/>
            <rFont val="Tahoma"/>
            <family val="2"/>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3200-000001000000}">
      <text>
        <r>
          <rPr>
            <b/>
            <sz val="8"/>
            <color indexed="81"/>
            <rFont val="Tahoma"/>
            <family val="2"/>
          </rPr>
          <t>From ALISE:
Part I, Item 2, Fall</t>
        </r>
        <r>
          <rPr>
            <sz val="8"/>
            <color indexed="81"/>
            <rFont val="Tahoma"/>
            <family val="2"/>
          </rPr>
          <t xml:space="preserve">
</t>
        </r>
      </text>
    </comment>
    <comment ref="C21" authorId="0" shapeId="0" xr:uid="{00000000-0006-0000-3200-000002000000}">
      <text>
        <r>
          <rPr>
            <b/>
            <sz val="8"/>
            <color indexed="81"/>
            <rFont val="Tahoma"/>
            <family val="2"/>
          </rPr>
          <t>From ALISE:
Part I, Item 3, Fall</t>
        </r>
        <r>
          <rPr>
            <sz val="8"/>
            <color indexed="81"/>
            <rFont val="Tahoma"/>
            <family val="2"/>
          </rPr>
          <t xml:space="preserve">
</t>
        </r>
      </text>
    </comment>
    <comment ref="I21" authorId="0" shapeId="0" xr:uid="{00000000-0006-0000-32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32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32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32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32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32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32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3200-00000A000000}">
      <text>
        <r>
          <rPr>
            <b/>
            <sz val="8"/>
            <color indexed="81"/>
            <rFont val="Tahoma"/>
            <family val="2"/>
          </rPr>
          <t>From ALISE:
Part IV, Line 59</t>
        </r>
        <r>
          <rPr>
            <sz val="8"/>
            <color indexed="81"/>
            <rFont val="Tahoma"/>
            <family val="2"/>
          </rPr>
          <t xml:space="preserve">
</t>
        </r>
      </text>
    </comment>
    <comment ref="U21" authorId="0" shapeId="0" xr:uid="{00000000-0006-0000-3200-00000B000000}">
      <text>
        <r>
          <rPr>
            <b/>
            <sz val="8"/>
            <color indexed="81"/>
            <rFont val="Tahoma"/>
            <family val="2"/>
          </rPr>
          <t>From ALISE:
Part IV, Line 60</t>
        </r>
        <r>
          <rPr>
            <sz val="8"/>
            <color indexed="81"/>
            <rFont val="Tahoma"/>
            <family val="2"/>
          </rPr>
          <t xml:space="preserve">
</t>
        </r>
      </text>
    </comment>
    <comment ref="V21" authorId="0" shapeId="0" xr:uid="{00000000-0006-0000-32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3200-00000D000000}">
      <text>
        <r>
          <rPr>
            <b/>
            <sz val="8"/>
            <color indexed="81"/>
            <rFont val="Tahoma"/>
            <family val="2"/>
          </rPr>
          <t>From ALISE:
Part I, Item 2, Fall</t>
        </r>
        <r>
          <rPr>
            <sz val="8"/>
            <color indexed="81"/>
            <rFont val="Tahoma"/>
            <family val="2"/>
          </rPr>
          <t xml:space="preserve">
</t>
        </r>
      </text>
    </comment>
    <comment ref="C23" authorId="0" shapeId="0" xr:uid="{00000000-0006-0000-3200-00000E000000}">
      <text>
        <r>
          <rPr>
            <b/>
            <sz val="8"/>
            <color indexed="81"/>
            <rFont val="Tahoma"/>
            <family val="2"/>
          </rPr>
          <t>From ALISE:
Part I, Item 3, Fall</t>
        </r>
        <r>
          <rPr>
            <sz val="8"/>
            <color indexed="81"/>
            <rFont val="Tahoma"/>
            <family val="2"/>
          </rPr>
          <t xml:space="preserve">
</t>
        </r>
      </text>
    </comment>
    <comment ref="I23" authorId="0" shapeId="0" xr:uid="{00000000-0006-0000-32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32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32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32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32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32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32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3200-000016000000}">
      <text>
        <r>
          <rPr>
            <b/>
            <sz val="8"/>
            <color indexed="81"/>
            <rFont val="Tahoma"/>
            <family val="2"/>
          </rPr>
          <t>From ALISE:
Part IV, Line 59</t>
        </r>
        <r>
          <rPr>
            <sz val="8"/>
            <color indexed="81"/>
            <rFont val="Tahoma"/>
            <family val="2"/>
          </rPr>
          <t xml:space="preserve">
</t>
        </r>
      </text>
    </comment>
    <comment ref="U23" authorId="0" shapeId="0" xr:uid="{00000000-0006-0000-3200-000017000000}">
      <text>
        <r>
          <rPr>
            <b/>
            <sz val="8"/>
            <color indexed="81"/>
            <rFont val="Tahoma"/>
            <family val="2"/>
          </rPr>
          <t>From ALISE:
Part IV, Line 60</t>
        </r>
        <r>
          <rPr>
            <sz val="8"/>
            <color indexed="81"/>
            <rFont val="Tahoma"/>
            <family val="2"/>
          </rPr>
          <t xml:space="preserve">
</t>
        </r>
      </text>
    </comment>
    <comment ref="V23" authorId="0" shapeId="0" xr:uid="{00000000-0006-0000-32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18" authorId="0" shapeId="0" xr:uid="{00000000-0006-0000-0400-000001000000}">
      <text>
        <r>
          <rPr>
            <b/>
            <sz val="8"/>
            <color indexed="81"/>
            <rFont val="Tahoma"/>
            <family val="2"/>
          </rPr>
          <t>From ALISE:
Part I, Item 2, Fall</t>
        </r>
        <r>
          <rPr>
            <sz val="8"/>
            <color indexed="81"/>
            <rFont val="Tahoma"/>
            <family val="2"/>
          </rPr>
          <t xml:space="preserve">
</t>
        </r>
      </text>
    </comment>
    <comment ref="C18" authorId="0" shapeId="0" xr:uid="{00000000-0006-0000-0400-000002000000}">
      <text>
        <r>
          <rPr>
            <b/>
            <sz val="8"/>
            <color indexed="81"/>
            <rFont val="Tahoma"/>
            <family val="2"/>
          </rPr>
          <t>From ALISE:
Part I, Item 3, Fall</t>
        </r>
        <r>
          <rPr>
            <sz val="8"/>
            <color indexed="81"/>
            <rFont val="Tahoma"/>
            <family val="2"/>
          </rPr>
          <t xml:space="preserve">
</t>
        </r>
      </text>
    </comment>
    <comment ref="I18" authorId="0" shapeId="0" xr:uid="{00000000-0006-0000-0400-000003000000}">
      <text>
        <r>
          <rPr>
            <b/>
            <sz val="8"/>
            <color indexed="81"/>
            <rFont val="Tahoma"/>
            <family val="2"/>
          </rPr>
          <t>From ALISE:
Part II, Table II-1,
Total  Full-time,
ALA only</t>
        </r>
        <r>
          <rPr>
            <sz val="8"/>
            <color indexed="81"/>
            <rFont val="Tahoma"/>
            <family val="2"/>
          </rPr>
          <t xml:space="preserve">
</t>
        </r>
      </text>
    </comment>
    <comment ref="J18" authorId="0" shapeId="0" xr:uid="{00000000-0006-0000-0400-000004000000}">
      <text>
        <r>
          <rPr>
            <b/>
            <sz val="8"/>
            <color indexed="81"/>
            <rFont val="Tahoma"/>
            <family val="2"/>
          </rPr>
          <t>From ALISE:
Part II, Table II-1,
Total No. Part-time,
ALA only</t>
        </r>
        <r>
          <rPr>
            <sz val="8"/>
            <color indexed="81"/>
            <rFont val="Tahoma"/>
            <family val="2"/>
          </rPr>
          <t xml:space="preserve">
</t>
        </r>
      </text>
    </comment>
    <comment ref="L18" authorId="0" shapeId="0" xr:uid="{00000000-0006-0000-0400-000005000000}">
      <text>
        <r>
          <rPr>
            <b/>
            <sz val="8"/>
            <color indexed="81"/>
            <rFont val="Tahoma"/>
            <family val="2"/>
          </rPr>
          <t xml:space="preserve">From ALISE:
Part II, Table II-1,
Total Part-Time FTE, ALA only
</t>
        </r>
        <r>
          <rPr>
            <sz val="8"/>
            <color indexed="81"/>
            <rFont val="Tahoma"/>
            <family val="2"/>
          </rPr>
          <t xml:space="preserve">
</t>
        </r>
      </text>
    </comment>
    <comment ref="N18" authorId="0" shapeId="0" xr:uid="{00000000-0006-0000-0400-000006000000}">
      <text>
        <r>
          <rPr>
            <b/>
            <sz val="8"/>
            <color indexed="81"/>
            <rFont val="Tahoma"/>
            <family val="2"/>
          </rPr>
          <t xml:space="preserve">From ALISE:
Part II, Table 11-4, Total AI, AP, B, and H,
ALA only  </t>
        </r>
        <r>
          <rPr>
            <sz val="8"/>
            <color indexed="81"/>
            <rFont val="Tahoma"/>
            <family val="2"/>
          </rPr>
          <t xml:space="preserve">
</t>
        </r>
      </text>
    </comment>
    <comment ref="O18" authorId="0" shapeId="0" xr:uid="{00000000-0006-0000-0400-000007000000}">
      <text>
        <r>
          <rPr>
            <b/>
            <sz val="8"/>
            <color indexed="81"/>
            <rFont val="Tahoma"/>
            <family val="2"/>
          </rPr>
          <t>From ALISE:
Part II, Table II-1, Total FTE, all programs</t>
        </r>
        <r>
          <rPr>
            <sz val="8"/>
            <color indexed="81"/>
            <rFont val="Tahoma"/>
            <family val="2"/>
          </rPr>
          <t xml:space="preserve">
</t>
        </r>
      </text>
    </comment>
    <comment ref="Q18" authorId="0" shapeId="0" xr:uid="{00000000-0006-0000-0400-000008000000}">
      <text>
        <r>
          <rPr>
            <b/>
            <sz val="8"/>
            <color indexed="81"/>
            <rFont val="Tahoma"/>
            <family val="2"/>
          </rPr>
          <t>From ALISE:
Part II, Table II-3, Total, ALA only</t>
        </r>
        <r>
          <rPr>
            <sz val="8"/>
            <color indexed="81"/>
            <rFont val="Tahoma"/>
            <family val="2"/>
          </rPr>
          <t xml:space="preserve">
</t>
        </r>
      </text>
    </comment>
    <comment ref="R18" authorId="0" shapeId="0" xr:uid="{00000000-0006-0000-0400-000009000000}">
      <text>
        <r>
          <rPr>
            <b/>
            <sz val="8"/>
            <color indexed="81"/>
            <rFont val="Tahoma"/>
            <family val="2"/>
          </rPr>
          <t>From ALISE:
Part II, Table II-3, Total all other programs</t>
        </r>
        <r>
          <rPr>
            <sz val="8"/>
            <color indexed="81"/>
            <rFont val="Tahoma"/>
            <family val="2"/>
          </rPr>
          <t xml:space="preserve">
</t>
        </r>
      </text>
    </comment>
    <comment ref="S18" authorId="0" shapeId="0" xr:uid="{00000000-0006-0000-0400-00000A000000}">
      <text>
        <r>
          <rPr>
            <b/>
            <sz val="8"/>
            <color indexed="81"/>
            <rFont val="Tahoma"/>
            <family val="2"/>
          </rPr>
          <t>From ALISE:
Part IV, Line 59</t>
        </r>
        <r>
          <rPr>
            <sz val="8"/>
            <color indexed="81"/>
            <rFont val="Tahoma"/>
            <family val="2"/>
          </rPr>
          <t xml:space="preserve">
</t>
        </r>
      </text>
    </comment>
    <comment ref="U18" authorId="0" shapeId="0" xr:uid="{00000000-0006-0000-0400-00000B000000}">
      <text>
        <r>
          <rPr>
            <b/>
            <sz val="8"/>
            <color indexed="81"/>
            <rFont val="Tahoma"/>
            <family val="2"/>
          </rPr>
          <t>From ALISE:
Part IV, Line 60</t>
        </r>
        <r>
          <rPr>
            <sz val="8"/>
            <color indexed="81"/>
            <rFont val="Tahoma"/>
            <family val="2"/>
          </rPr>
          <t xml:space="preserve">
</t>
        </r>
      </text>
    </comment>
    <comment ref="V18" authorId="0" shapeId="0" xr:uid="{00000000-0006-0000-0400-00000C000000}">
      <text>
        <r>
          <rPr>
            <b/>
            <sz val="8"/>
            <color indexed="81"/>
            <rFont val="Tahoma"/>
            <family val="2"/>
          </rPr>
          <t>From ALISE:
Part IV, Total lines 61, 62, 63, 64, and 68</t>
        </r>
        <r>
          <rPr>
            <sz val="8"/>
            <color indexed="81"/>
            <rFont val="Tahoma"/>
            <family val="2"/>
          </rPr>
          <t xml:space="preserve">
</t>
        </r>
      </text>
    </comment>
    <comment ref="B19" authorId="0" shapeId="0" xr:uid="{00000000-0006-0000-0400-00000D000000}">
      <text>
        <r>
          <rPr>
            <b/>
            <sz val="8"/>
            <color indexed="81"/>
            <rFont val="Tahoma"/>
            <family val="2"/>
          </rPr>
          <t>From ALISE:
Part I, Item 2, Fall</t>
        </r>
        <r>
          <rPr>
            <sz val="8"/>
            <color indexed="81"/>
            <rFont val="Tahoma"/>
            <family val="2"/>
          </rPr>
          <t xml:space="preserve">
</t>
        </r>
      </text>
    </comment>
    <comment ref="C19" authorId="0" shapeId="0" xr:uid="{00000000-0006-0000-0400-00000E000000}">
      <text>
        <r>
          <rPr>
            <b/>
            <sz val="8"/>
            <color indexed="81"/>
            <rFont val="Tahoma"/>
            <family val="2"/>
          </rPr>
          <t>From ALISE:
Part I, Item 3, Fall</t>
        </r>
        <r>
          <rPr>
            <sz val="8"/>
            <color indexed="81"/>
            <rFont val="Tahoma"/>
            <family val="2"/>
          </rPr>
          <t xml:space="preserve">
</t>
        </r>
      </text>
    </comment>
    <comment ref="I19" authorId="0" shapeId="0" xr:uid="{00000000-0006-0000-0400-00000F000000}">
      <text>
        <r>
          <rPr>
            <b/>
            <sz val="8"/>
            <color indexed="81"/>
            <rFont val="Tahoma"/>
            <family val="2"/>
          </rPr>
          <t>From ALISE:
Part II, Table II-1,
Total  Full-time,
ALA only</t>
        </r>
        <r>
          <rPr>
            <sz val="8"/>
            <color indexed="81"/>
            <rFont val="Tahoma"/>
            <family val="2"/>
          </rPr>
          <t xml:space="preserve">
</t>
        </r>
      </text>
    </comment>
    <comment ref="J19" authorId="0" shapeId="0" xr:uid="{00000000-0006-0000-0400-000010000000}">
      <text>
        <r>
          <rPr>
            <b/>
            <sz val="8"/>
            <color rgb="FF000000"/>
            <rFont val="Tahoma"/>
            <family val="2"/>
          </rPr>
          <t xml:space="preserve">From ALISE:
</t>
        </r>
        <r>
          <rPr>
            <b/>
            <sz val="8"/>
            <color rgb="FF000000"/>
            <rFont val="Tahoma"/>
            <family val="2"/>
          </rPr>
          <t xml:space="preserve">Part II, Table II-1,
</t>
        </r>
        <r>
          <rPr>
            <b/>
            <sz val="8"/>
            <color rgb="FF000000"/>
            <rFont val="Tahoma"/>
            <family val="2"/>
          </rPr>
          <t xml:space="preserve">Total No. Part-time,
</t>
        </r>
        <r>
          <rPr>
            <b/>
            <sz val="8"/>
            <color rgb="FF000000"/>
            <rFont val="Tahoma"/>
            <family val="2"/>
          </rPr>
          <t>ALA only</t>
        </r>
        <r>
          <rPr>
            <sz val="8"/>
            <color rgb="FF000000"/>
            <rFont val="Tahoma"/>
            <family val="2"/>
          </rPr>
          <t xml:space="preserve">
</t>
        </r>
      </text>
    </comment>
    <comment ref="L19" authorId="0" shapeId="0" xr:uid="{00000000-0006-0000-0400-000011000000}">
      <text>
        <r>
          <rPr>
            <b/>
            <sz val="8"/>
            <color indexed="81"/>
            <rFont val="Tahoma"/>
            <family val="2"/>
          </rPr>
          <t xml:space="preserve">From ALISE:
Part II, Table II-1,
Total Part-Time FTE, ALA only
</t>
        </r>
        <r>
          <rPr>
            <sz val="8"/>
            <color indexed="81"/>
            <rFont val="Tahoma"/>
            <family val="2"/>
          </rPr>
          <t xml:space="preserve">
</t>
        </r>
      </text>
    </comment>
    <comment ref="N19" authorId="0" shapeId="0" xr:uid="{00000000-0006-0000-0400-000012000000}">
      <text>
        <r>
          <rPr>
            <b/>
            <sz val="8"/>
            <color rgb="FF000000"/>
            <rFont val="Tahoma"/>
            <family val="2"/>
          </rPr>
          <t xml:space="preserve">From ALISE:
</t>
        </r>
        <r>
          <rPr>
            <b/>
            <sz val="8"/>
            <color rgb="FF000000"/>
            <rFont val="Tahoma"/>
            <family val="2"/>
          </rPr>
          <t xml:space="preserve">Part II, Table 11-4, Total AI, AP, B, and H,
</t>
        </r>
        <r>
          <rPr>
            <b/>
            <sz val="8"/>
            <color rgb="FF000000"/>
            <rFont val="Tahoma"/>
            <family val="2"/>
          </rPr>
          <t xml:space="preserve">ALA only  </t>
        </r>
        <r>
          <rPr>
            <sz val="8"/>
            <color rgb="FF000000"/>
            <rFont val="Tahoma"/>
            <family val="2"/>
          </rPr>
          <t xml:space="preserve">
</t>
        </r>
      </text>
    </comment>
    <comment ref="O19" authorId="0" shapeId="0" xr:uid="{00000000-0006-0000-0400-000013000000}">
      <text>
        <r>
          <rPr>
            <b/>
            <sz val="8"/>
            <color indexed="81"/>
            <rFont val="Tahoma"/>
            <family val="2"/>
          </rPr>
          <t>From ALISE:
Part II, Table II-1, Total FTE, all programs</t>
        </r>
        <r>
          <rPr>
            <sz val="8"/>
            <color indexed="81"/>
            <rFont val="Tahoma"/>
            <family val="2"/>
          </rPr>
          <t xml:space="preserve">
</t>
        </r>
      </text>
    </comment>
    <comment ref="Q19" authorId="0" shapeId="0" xr:uid="{00000000-0006-0000-0400-000014000000}">
      <text>
        <r>
          <rPr>
            <b/>
            <sz val="8"/>
            <color indexed="81"/>
            <rFont val="Tahoma"/>
            <family val="2"/>
          </rPr>
          <t>From ALISE:
Part II, Table II-3, Total, ALA only</t>
        </r>
        <r>
          <rPr>
            <sz val="8"/>
            <color indexed="81"/>
            <rFont val="Tahoma"/>
            <family val="2"/>
          </rPr>
          <t xml:space="preserve">
</t>
        </r>
      </text>
    </comment>
    <comment ref="R19" authorId="0" shapeId="0" xr:uid="{00000000-0006-0000-0400-000015000000}">
      <text>
        <r>
          <rPr>
            <b/>
            <sz val="8"/>
            <color indexed="81"/>
            <rFont val="Tahoma"/>
            <family val="2"/>
          </rPr>
          <t>From ALISE:
Part II, Table II-3, Total all other programs</t>
        </r>
        <r>
          <rPr>
            <sz val="8"/>
            <color indexed="81"/>
            <rFont val="Tahoma"/>
            <family val="2"/>
          </rPr>
          <t xml:space="preserve">
</t>
        </r>
      </text>
    </comment>
    <comment ref="S19" authorId="0" shapeId="0" xr:uid="{00000000-0006-0000-0400-000016000000}">
      <text>
        <r>
          <rPr>
            <b/>
            <sz val="8"/>
            <color indexed="81"/>
            <rFont val="Tahoma"/>
            <family val="2"/>
          </rPr>
          <t>From ALISE:
Part IV, Line 59</t>
        </r>
        <r>
          <rPr>
            <sz val="8"/>
            <color indexed="81"/>
            <rFont val="Tahoma"/>
            <family val="2"/>
          </rPr>
          <t xml:space="preserve">
</t>
        </r>
      </text>
    </comment>
    <comment ref="U19" authorId="0" shapeId="0" xr:uid="{00000000-0006-0000-0400-000017000000}">
      <text>
        <r>
          <rPr>
            <b/>
            <sz val="8"/>
            <color indexed="81"/>
            <rFont val="Tahoma"/>
            <family val="2"/>
          </rPr>
          <t>From ALISE:
Part IV, Line 60</t>
        </r>
        <r>
          <rPr>
            <sz val="8"/>
            <color indexed="81"/>
            <rFont val="Tahoma"/>
            <family val="2"/>
          </rPr>
          <t xml:space="preserve">
</t>
        </r>
      </text>
    </comment>
    <comment ref="V19" authorId="0" shapeId="0" xr:uid="{00000000-0006-0000-0400-000018000000}">
      <text>
        <r>
          <rPr>
            <b/>
            <sz val="8"/>
            <color indexed="81"/>
            <rFont val="Tahoma"/>
            <family val="2"/>
          </rPr>
          <t>From ALISE:
Part IV, Total lines 61, 62, 63, 64, and 68</t>
        </r>
        <r>
          <rPr>
            <sz val="8"/>
            <color indexed="81"/>
            <rFont val="Tahoma"/>
            <family val="2"/>
          </rPr>
          <t xml:space="preserve">
</t>
        </r>
      </text>
    </comment>
    <comment ref="B20" authorId="0" shapeId="0" xr:uid="{00000000-0006-0000-0400-000019000000}">
      <text>
        <r>
          <rPr>
            <b/>
            <sz val="8"/>
            <color indexed="81"/>
            <rFont val="Tahoma"/>
            <family val="2"/>
          </rPr>
          <t>From ALISE:
Part I, Item 2, Fall</t>
        </r>
        <r>
          <rPr>
            <sz val="8"/>
            <color indexed="81"/>
            <rFont val="Tahoma"/>
            <family val="2"/>
          </rPr>
          <t xml:space="preserve">
</t>
        </r>
      </text>
    </comment>
    <comment ref="C20" authorId="0" shapeId="0" xr:uid="{00000000-0006-0000-0400-00001A000000}">
      <text>
        <r>
          <rPr>
            <b/>
            <sz val="8"/>
            <color indexed="81"/>
            <rFont val="Tahoma"/>
            <family val="2"/>
          </rPr>
          <t>From ALISE:
Part I, Item 3, Fall</t>
        </r>
        <r>
          <rPr>
            <sz val="8"/>
            <color indexed="81"/>
            <rFont val="Tahoma"/>
            <family val="2"/>
          </rPr>
          <t xml:space="preserve">
</t>
        </r>
      </text>
    </comment>
    <comment ref="I20" authorId="0" shapeId="0" xr:uid="{00000000-0006-0000-0400-00001B000000}">
      <text>
        <r>
          <rPr>
            <b/>
            <sz val="8"/>
            <color indexed="81"/>
            <rFont val="Tahoma"/>
            <family val="2"/>
          </rPr>
          <t>From ALISE:
Part II, Table II-1,
Total  Full-time,
ALA only</t>
        </r>
        <r>
          <rPr>
            <sz val="8"/>
            <color indexed="81"/>
            <rFont val="Tahoma"/>
            <family val="2"/>
          </rPr>
          <t xml:space="preserve">
</t>
        </r>
      </text>
    </comment>
    <comment ref="J20" authorId="0" shapeId="0" xr:uid="{00000000-0006-0000-0400-00001C000000}">
      <text>
        <r>
          <rPr>
            <b/>
            <sz val="8"/>
            <color indexed="81"/>
            <rFont val="Tahoma"/>
            <family val="2"/>
          </rPr>
          <t>From ALISE:
Part II, Table II-1,
Total No. Part-time,
ALA only</t>
        </r>
        <r>
          <rPr>
            <sz val="8"/>
            <color indexed="81"/>
            <rFont val="Tahoma"/>
            <family val="2"/>
          </rPr>
          <t xml:space="preserve">
</t>
        </r>
      </text>
    </comment>
    <comment ref="L20" authorId="0" shapeId="0" xr:uid="{00000000-0006-0000-0400-00001D000000}">
      <text>
        <r>
          <rPr>
            <b/>
            <sz val="8"/>
            <color indexed="81"/>
            <rFont val="Tahoma"/>
            <family val="2"/>
          </rPr>
          <t xml:space="preserve">From ALISE:
Part II, Table II-1,
Total Part-Time FTE, ALA only
</t>
        </r>
        <r>
          <rPr>
            <sz val="8"/>
            <color indexed="81"/>
            <rFont val="Tahoma"/>
            <family val="2"/>
          </rPr>
          <t xml:space="preserve">
</t>
        </r>
      </text>
    </comment>
    <comment ref="N20" authorId="0" shapeId="0" xr:uid="{00000000-0006-0000-0400-00001E000000}">
      <text>
        <r>
          <rPr>
            <b/>
            <sz val="8"/>
            <color indexed="81"/>
            <rFont val="Tahoma"/>
            <family val="2"/>
          </rPr>
          <t xml:space="preserve">From ALISE:
Part II, Table 11-4, Total AI, AP, B, and H,
ALA only  </t>
        </r>
        <r>
          <rPr>
            <sz val="8"/>
            <color indexed="81"/>
            <rFont val="Tahoma"/>
            <family val="2"/>
          </rPr>
          <t xml:space="preserve">
</t>
        </r>
      </text>
    </comment>
    <comment ref="O20" authorId="0" shapeId="0" xr:uid="{00000000-0006-0000-0400-00001F000000}">
      <text>
        <r>
          <rPr>
            <b/>
            <sz val="8"/>
            <color indexed="81"/>
            <rFont val="Tahoma"/>
            <family val="2"/>
          </rPr>
          <t>From ALISE:
Part II, Table II-1, Total FTE, all programs</t>
        </r>
        <r>
          <rPr>
            <sz val="8"/>
            <color indexed="81"/>
            <rFont val="Tahoma"/>
            <family val="2"/>
          </rPr>
          <t xml:space="preserve">
</t>
        </r>
      </text>
    </comment>
    <comment ref="Q20" authorId="0" shapeId="0" xr:uid="{00000000-0006-0000-0400-000020000000}">
      <text>
        <r>
          <rPr>
            <b/>
            <sz val="8"/>
            <color indexed="81"/>
            <rFont val="Tahoma"/>
            <family val="2"/>
          </rPr>
          <t>From ALISE:
Part II, Table II-3, Total, ALA only</t>
        </r>
        <r>
          <rPr>
            <sz val="8"/>
            <color indexed="81"/>
            <rFont val="Tahoma"/>
            <family val="2"/>
          </rPr>
          <t xml:space="preserve">
</t>
        </r>
      </text>
    </comment>
    <comment ref="R20" authorId="0" shapeId="0" xr:uid="{00000000-0006-0000-0400-000021000000}">
      <text>
        <r>
          <rPr>
            <b/>
            <sz val="8"/>
            <color indexed="81"/>
            <rFont val="Tahoma"/>
            <family val="2"/>
          </rPr>
          <t>From ALISE:
Part II, Table II-3, Total all other programs</t>
        </r>
        <r>
          <rPr>
            <sz val="8"/>
            <color indexed="81"/>
            <rFont val="Tahoma"/>
            <family val="2"/>
          </rPr>
          <t xml:space="preserve">
</t>
        </r>
      </text>
    </comment>
    <comment ref="S20" authorId="0" shapeId="0" xr:uid="{00000000-0006-0000-0400-000022000000}">
      <text>
        <r>
          <rPr>
            <b/>
            <sz val="8"/>
            <color indexed="81"/>
            <rFont val="Tahoma"/>
            <family val="2"/>
          </rPr>
          <t>From ALISE:
Part IV, Line 59</t>
        </r>
        <r>
          <rPr>
            <sz val="8"/>
            <color indexed="81"/>
            <rFont val="Tahoma"/>
            <family val="2"/>
          </rPr>
          <t xml:space="preserve">
</t>
        </r>
      </text>
    </comment>
    <comment ref="U20" authorId="0" shapeId="0" xr:uid="{00000000-0006-0000-0400-000023000000}">
      <text>
        <r>
          <rPr>
            <b/>
            <sz val="8"/>
            <color indexed="81"/>
            <rFont val="Tahoma"/>
            <family val="2"/>
          </rPr>
          <t>From ALISE:
Part IV, Line 60</t>
        </r>
        <r>
          <rPr>
            <sz val="8"/>
            <color indexed="81"/>
            <rFont val="Tahoma"/>
            <family val="2"/>
          </rPr>
          <t xml:space="preserve">
</t>
        </r>
      </text>
    </comment>
    <comment ref="V20" authorId="0" shapeId="0" xr:uid="{00000000-0006-0000-0400-000024000000}">
      <text>
        <r>
          <rPr>
            <b/>
            <sz val="8"/>
            <color indexed="81"/>
            <rFont val="Tahoma"/>
            <family val="2"/>
          </rPr>
          <t>From ALISE:
Part IV, Total lines 61, 62, 63, 64, and 68</t>
        </r>
        <r>
          <rPr>
            <sz val="8"/>
            <color indexed="81"/>
            <rFont val="Tahoma"/>
            <family val="2"/>
          </rPr>
          <t xml:space="preserve">
</t>
        </r>
      </text>
    </comment>
    <comment ref="B21" authorId="0" shapeId="0" xr:uid="{00000000-0006-0000-0400-000025000000}">
      <text>
        <r>
          <rPr>
            <b/>
            <sz val="8"/>
            <color indexed="81"/>
            <rFont val="Tahoma"/>
            <family val="2"/>
          </rPr>
          <t>From ALISE:
Part I, Item 2, Fall</t>
        </r>
        <r>
          <rPr>
            <sz val="8"/>
            <color indexed="81"/>
            <rFont val="Tahoma"/>
            <family val="2"/>
          </rPr>
          <t xml:space="preserve">
</t>
        </r>
      </text>
    </comment>
    <comment ref="C21" authorId="0" shapeId="0" xr:uid="{00000000-0006-0000-0400-000026000000}">
      <text>
        <r>
          <rPr>
            <b/>
            <sz val="8"/>
            <color indexed="81"/>
            <rFont val="Tahoma"/>
            <family val="2"/>
          </rPr>
          <t>From ALISE:
Part I, Item 3, Fall</t>
        </r>
        <r>
          <rPr>
            <sz val="8"/>
            <color indexed="81"/>
            <rFont val="Tahoma"/>
            <family val="2"/>
          </rPr>
          <t xml:space="preserve">
</t>
        </r>
      </text>
    </comment>
    <comment ref="I21" authorId="0" shapeId="0" xr:uid="{00000000-0006-0000-0400-000027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0400-000028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0400-000029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0400-00002A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0400-00002B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0400-00002C000000}">
      <text>
        <r>
          <rPr>
            <b/>
            <sz val="8"/>
            <color indexed="81"/>
            <rFont val="Tahoma"/>
            <family val="2"/>
          </rPr>
          <t>From ALISE:
Part II, Table II-3, Total, ALA only</t>
        </r>
        <r>
          <rPr>
            <sz val="8"/>
            <color indexed="81"/>
            <rFont val="Tahoma"/>
            <family val="2"/>
          </rPr>
          <t xml:space="preserve">
</t>
        </r>
      </text>
    </comment>
    <comment ref="R21" authorId="0" shapeId="0" xr:uid="{00000000-0006-0000-0400-00002D000000}">
      <text>
        <r>
          <rPr>
            <b/>
            <sz val="8"/>
            <color rgb="FF000000"/>
            <rFont val="Tahoma"/>
            <family val="2"/>
          </rPr>
          <t xml:space="preserve">From ALISE:
</t>
        </r>
        <r>
          <rPr>
            <b/>
            <sz val="8"/>
            <color rgb="FF000000"/>
            <rFont val="Tahoma"/>
            <family val="2"/>
          </rPr>
          <t>Part II, Table II-3, Total all other programs</t>
        </r>
        <r>
          <rPr>
            <sz val="8"/>
            <color rgb="FF000000"/>
            <rFont val="Tahoma"/>
            <family val="2"/>
          </rPr>
          <t xml:space="preserve">
</t>
        </r>
      </text>
    </comment>
    <comment ref="S21" authorId="0" shapeId="0" xr:uid="{00000000-0006-0000-0400-00002E000000}">
      <text>
        <r>
          <rPr>
            <b/>
            <sz val="8"/>
            <color indexed="81"/>
            <rFont val="Tahoma"/>
            <family val="2"/>
          </rPr>
          <t>From ALISE:
Part IV, Line 59</t>
        </r>
        <r>
          <rPr>
            <sz val="8"/>
            <color indexed="81"/>
            <rFont val="Tahoma"/>
            <family val="2"/>
          </rPr>
          <t xml:space="preserve">
</t>
        </r>
      </text>
    </comment>
    <comment ref="U21" authorId="0" shapeId="0" xr:uid="{00000000-0006-0000-0400-00002F000000}">
      <text>
        <r>
          <rPr>
            <b/>
            <sz val="8"/>
            <color indexed="81"/>
            <rFont val="Tahoma"/>
            <family val="2"/>
          </rPr>
          <t>From ALISE:
Part IV, Line 60</t>
        </r>
        <r>
          <rPr>
            <sz val="8"/>
            <color indexed="81"/>
            <rFont val="Tahoma"/>
            <family val="2"/>
          </rPr>
          <t xml:space="preserve">
</t>
        </r>
      </text>
    </comment>
    <comment ref="V21" authorId="0" shapeId="0" xr:uid="{00000000-0006-0000-0400-000030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0400-000031000000}">
      <text>
        <r>
          <rPr>
            <b/>
            <sz val="8"/>
            <color indexed="81"/>
            <rFont val="Tahoma"/>
            <family val="2"/>
          </rPr>
          <t>From ALISE:
Part I, Item 2, Fall</t>
        </r>
        <r>
          <rPr>
            <sz val="8"/>
            <color indexed="81"/>
            <rFont val="Tahoma"/>
            <family val="2"/>
          </rPr>
          <t xml:space="preserve">
</t>
        </r>
      </text>
    </comment>
    <comment ref="C23" authorId="0" shapeId="0" xr:uid="{00000000-0006-0000-0400-000032000000}">
      <text>
        <r>
          <rPr>
            <b/>
            <sz val="8"/>
            <color indexed="81"/>
            <rFont val="Tahoma"/>
            <family val="2"/>
          </rPr>
          <t>From ALISE:
Part I, Item 3, Fall</t>
        </r>
        <r>
          <rPr>
            <sz val="8"/>
            <color indexed="81"/>
            <rFont val="Tahoma"/>
            <family val="2"/>
          </rPr>
          <t xml:space="preserve">
</t>
        </r>
      </text>
    </comment>
    <comment ref="I23" authorId="0" shapeId="0" xr:uid="{00000000-0006-0000-0400-000033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0400-000034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0400-000035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0400-000036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0400-000037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0400-000038000000}">
      <text>
        <r>
          <rPr>
            <b/>
            <sz val="8"/>
            <color indexed="81"/>
            <rFont val="Tahoma"/>
            <family val="2"/>
          </rPr>
          <t>From ALISE:
Part II, Table II-3, Total, ALA only</t>
        </r>
        <r>
          <rPr>
            <sz val="8"/>
            <color indexed="81"/>
            <rFont val="Tahoma"/>
            <family val="2"/>
          </rPr>
          <t xml:space="preserve">
</t>
        </r>
      </text>
    </comment>
    <comment ref="R23" authorId="0" shapeId="0" xr:uid="{00000000-0006-0000-0400-000039000000}">
      <text>
        <r>
          <rPr>
            <b/>
            <sz val="8"/>
            <color rgb="FF000000"/>
            <rFont val="Tahoma"/>
            <family val="2"/>
          </rPr>
          <t xml:space="preserve">From ALISE:
</t>
        </r>
        <r>
          <rPr>
            <b/>
            <sz val="8"/>
            <color rgb="FF000000"/>
            <rFont val="Tahoma"/>
            <family val="2"/>
          </rPr>
          <t>Part II, Table II-3, Total all other programs</t>
        </r>
        <r>
          <rPr>
            <sz val="8"/>
            <color rgb="FF000000"/>
            <rFont val="Tahoma"/>
            <family val="2"/>
          </rPr>
          <t xml:space="preserve">
</t>
        </r>
      </text>
    </comment>
    <comment ref="S23" authorId="0" shapeId="0" xr:uid="{00000000-0006-0000-0400-00003A000000}">
      <text>
        <r>
          <rPr>
            <b/>
            <sz val="8"/>
            <color indexed="81"/>
            <rFont val="Tahoma"/>
            <family val="2"/>
          </rPr>
          <t>From ALISE:
Part IV, Line 59</t>
        </r>
        <r>
          <rPr>
            <sz val="8"/>
            <color indexed="81"/>
            <rFont val="Tahoma"/>
            <family val="2"/>
          </rPr>
          <t xml:space="preserve">
</t>
        </r>
      </text>
    </comment>
    <comment ref="U23" authorId="0" shapeId="0" xr:uid="{00000000-0006-0000-0400-00003B000000}">
      <text>
        <r>
          <rPr>
            <b/>
            <sz val="8"/>
            <color indexed="81"/>
            <rFont val="Tahoma"/>
            <family val="2"/>
          </rPr>
          <t>From ALISE:
Part IV, Line 60</t>
        </r>
        <r>
          <rPr>
            <sz val="8"/>
            <color indexed="81"/>
            <rFont val="Tahoma"/>
            <family val="2"/>
          </rPr>
          <t xml:space="preserve">
</t>
        </r>
      </text>
    </comment>
    <comment ref="V23" authorId="0" shapeId="0" xr:uid="{00000000-0006-0000-0400-00003C000000}">
      <text>
        <r>
          <rPr>
            <b/>
            <sz val="8"/>
            <color indexed="81"/>
            <rFont val="Tahoma"/>
            <family val="2"/>
          </rPr>
          <t>From ALISE:
Part IV, Total lines 61, 62, 63, 64, and 68</t>
        </r>
        <r>
          <rPr>
            <sz val="8"/>
            <color indexed="81"/>
            <rFont val="Tahoma"/>
            <family val="2"/>
          </rPr>
          <t xml:space="preserve">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3" authorId="0" shapeId="0" xr:uid="{00000000-0006-0000-3400-000001000000}">
      <text>
        <r>
          <rPr>
            <b/>
            <sz val="8"/>
            <color indexed="81"/>
            <rFont val="Tahoma"/>
            <family val="2"/>
          </rPr>
          <t>From ALISE:
Part I, Item 2, Fall</t>
        </r>
        <r>
          <rPr>
            <sz val="8"/>
            <color indexed="81"/>
            <rFont val="Tahoma"/>
            <family val="2"/>
          </rPr>
          <t xml:space="preserve">
</t>
        </r>
      </text>
    </comment>
    <comment ref="C23" authorId="0" shapeId="0" xr:uid="{00000000-0006-0000-3400-000002000000}">
      <text>
        <r>
          <rPr>
            <b/>
            <sz val="8"/>
            <color indexed="81"/>
            <rFont val="Tahoma"/>
            <family val="2"/>
          </rPr>
          <t>From ALISE:
Part I, Item 3, Fall</t>
        </r>
        <r>
          <rPr>
            <sz val="8"/>
            <color indexed="81"/>
            <rFont val="Tahoma"/>
            <family val="2"/>
          </rPr>
          <t xml:space="preserve">
</t>
        </r>
      </text>
    </comment>
    <comment ref="I23" authorId="0" shapeId="0" xr:uid="{00000000-0006-0000-3400-000003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3400-000004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3400-000005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3400-000006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3400-000007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3400-000008000000}">
      <text>
        <r>
          <rPr>
            <b/>
            <sz val="8"/>
            <color indexed="81"/>
            <rFont val="Tahoma"/>
            <family val="2"/>
          </rPr>
          <t>From ALISE:
Part II, Table II-3, Total, ALA only</t>
        </r>
        <r>
          <rPr>
            <sz val="8"/>
            <color indexed="81"/>
            <rFont val="Tahoma"/>
            <family val="2"/>
          </rPr>
          <t xml:space="preserve">
</t>
        </r>
      </text>
    </comment>
    <comment ref="R23" authorId="0" shapeId="0" xr:uid="{00000000-0006-0000-3400-000009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3400-00000A000000}">
      <text>
        <r>
          <rPr>
            <b/>
            <sz val="8"/>
            <color indexed="81"/>
            <rFont val="Tahoma"/>
            <family val="2"/>
          </rPr>
          <t>From ALISE:
Part IV, Line 59</t>
        </r>
        <r>
          <rPr>
            <sz val="8"/>
            <color indexed="81"/>
            <rFont val="Tahoma"/>
            <family val="2"/>
          </rPr>
          <t xml:space="preserve">
</t>
        </r>
      </text>
    </comment>
    <comment ref="U23" authorId="0" shapeId="0" xr:uid="{00000000-0006-0000-3400-00000B000000}">
      <text>
        <r>
          <rPr>
            <b/>
            <sz val="8"/>
            <color indexed="81"/>
            <rFont val="Tahoma"/>
            <family val="2"/>
          </rPr>
          <t>From ALISE:
Part IV, Line 60</t>
        </r>
        <r>
          <rPr>
            <sz val="8"/>
            <color indexed="81"/>
            <rFont val="Tahoma"/>
            <family val="2"/>
          </rPr>
          <t xml:space="preserve">
</t>
        </r>
      </text>
    </comment>
    <comment ref="V23" authorId="0" shapeId="0" xr:uid="{00000000-0006-0000-3400-00000C000000}">
      <text>
        <r>
          <rPr>
            <b/>
            <sz val="8"/>
            <color indexed="81"/>
            <rFont val="Tahoma"/>
            <family val="2"/>
          </rPr>
          <t>From ALISE:
Part IV, Total lines 61, 62, 63, 64, and 68</t>
        </r>
        <r>
          <rPr>
            <sz val="8"/>
            <color indexed="81"/>
            <rFont val="Tahoma"/>
            <family val="2"/>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3500-000001000000}">
      <text>
        <r>
          <rPr>
            <b/>
            <sz val="8"/>
            <color indexed="81"/>
            <rFont val="Tahoma"/>
            <family val="2"/>
          </rPr>
          <t>From ALISE:
Part I, Item 2, Fall</t>
        </r>
        <r>
          <rPr>
            <sz val="8"/>
            <color indexed="81"/>
            <rFont val="Tahoma"/>
            <family val="2"/>
          </rPr>
          <t xml:space="preserve">
</t>
        </r>
      </text>
    </comment>
    <comment ref="C21" authorId="0" shapeId="0" xr:uid="{00000000-0006-0000-3500-000002000000}">
      <text>
        <r>
          <rPr>
            <b/>
            <sz val="8"/>
            <color indexed="81"/>
            <rFont val="Tahoma"/>
            <family val="2"/>
          </rPr>
          <t>From ALISE:
Part I, Item 3, Fall</t>
        </r>
        <r>
          <rPr>
            <sz val="8"/>
            <color indexed="81"/>
            <rFont val="Tahoma"/>
            <family val="2"/>
          </rPr>
          <t xml:space="preserve">
</t>
        </r>
      </text>
    </comment>
    <comment ref="I21" authorId="0" shapeId="0" xr:uid="{00000000-0006-0000-35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35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35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35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35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35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35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3500-00000A000000}">
      <text>
        <r>
          <rPr>
            <b/>
            <sz val="8"/>
            <color indexed="81"/>
            <rFont val="Tahoma"/>
            <family val="2"/>
          </rPr>
          <t>From ALISE:
Part IV, Line 59</t>
        </r>
        <r>
          <rPr>
            <sz val="8"/>
            <color indexed="81"/>
            <rFont val="Tahoma"/>
            <family val="2"/>
          </rPr>
          <t xml:space="preserve">
</t>
        </r>
      </text>
    </comment>
    <comment ref="U21" authorId="0" shapeId="0" xr:uid="{00000000-0006-0000-3500-00000B000000}">
      <text>
        <r>
          <rPr>
            <b/>
            <sz val="8"/>
            <color indexed="81"/>
            <rFont val="Tahoma"/>
            <family val="2"/>
          </rPr>
          <t>From ALISE:
Part IV, Line 60</t>
        </r>
        <r>
          <rPr>
            <sz val="8"/>
            <color indexed="81"/>
            <rFont val="Tahoma"/>
            <family val="2"/>
          </rPr>
          <t xml:space="preserve">
</t>
        </r>
      </text>
    </comment>
    <comment ref="V21" authorId="0" shapeId="0" xr:uid="{00000000-0006-0000-35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3500-00000D000000}">
      <text>
        <r>
          <rPr>
            <b/>
            <sz val="8"/>
            <color indexed="81"/>
            <rFont val="Tahoma"/>
            <family val="2"/>
          </rPr>
          <t>From ALISE:
Part I, Item 2, Fall</t>
        </r>
        <r>
          <rPr>
            <sz val="8"/>
            <color indexed="81"/>
            <rFont val="Tahoma"/>
            <family val="2"/>
          </rPr>
          <t xml:space="preserve">
</t>
        </r>
      </text>
    </comment>
    <comment ref="C23" authorId="0" shapeId="0" xr:uid="{00000000-0006-0000-3500-00000E000000}">
      <text>
        <r>
          <rPr>
            <b/>
            <sz val="8"/>
            <color indexed="81"/>
            <rFont val="Tahoma"/>
            <family val="2"/>
          </rPr>
          <t>From ALISE:
Part I, Item 3, Fall</t>
        </r>
        <r>
          <rPr>
            <sz val="8"/>
            <color indexed="81"/>
            <rFont val="Tahoma"/>
            <family val="2"/>
          </rPr>
          <t xml:space="preserve">
</t>
        </r>
      </text>
    </comment>
    <comment ref="I23" authorId="0" shapeId="0" xr:uid="{00000000-0006-0000-35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35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35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35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35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35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35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3500-000016000000}">
      <text>
        <r>
          <rPr>
            <b/>
            <sz val="8"/>
            <color indexed="81"/>
            <rFont val="Tahoma"/>
            <family val="2"/>
          </rPr>
          <t>From ALISE:
Part IV, Line 59</t>
        </r>
        <r>
          <rPr>
            <sz val="8"/>
            <color indexed="81"/>
            <rFont val="Tahoma"/>
            <family val="2"/>
          </rPr>
          <t xml:space="preserve">
</t>
        </r>
      </text>
    </comment>
    <comment ref="U23" authorId="0" shapeId="0" xr:uid="{00000000-0006-0000-3500-000017000000}">
      <text>
        <r>
          <rPr>
            <b/>
            <sz val="8"/>
            <color indexed="81"/>
            <rFont val="Tahoma"/>
            <family val="2"/>
          </rPr>
          <t>From ALISE:
Part IV, Line 60</t>
        </r>
        <r>
          <rPr>
            <sz val="8"/>
            <color indexed="81"/>
            <rFont val="Tahoma"/>
            <family val="2"/>
          </rPr>
          <t xml:space="preserve">
</t>
        </r>
      </text>
    </comment>
    <comment ref="V23" authorId="0" shapeId="0" xr:uid="{00000000-0006-0000-35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3600-000001000000}">
      <text>
        <r>
          <rPr>
            <b/>
            <sz val="8"/>
            <color indexed="81"/>
            <rFont val="Tahoma"/>
            <family val="2"/>
          </rPr>
          <t>From ALISE:
Part I, Item 2, Fall</t>
        </r>
        <r>
          <rPr>
            <sz val="8"/>
            <color indexed="81"/>
            <rFont val="Tahoma"/>
            <family val="2"/>
          </rPr>
          <t xml:space="preserve">
</t>
        </r>
      </text>
    </comment>
    <comment ref="C21" authorId="0" shapeId="0" xr:uid="{00000000-0006-0000-3600-000002000000}">
      <text>
        <r>
          <rPr>
            <b/>
            <sz val="8"/>
            <color indexed="81"/>
            <rFont val="Tahoma"/>
            <family val="2"/>
          </rPr>
          <t>From ALISE:
Part I, Item 3, Fall</t>
        </r>
        <r>
          <rPr>
            <sz val="8"/>
            <color indexed="81"/>
            <rFont val="Tahoma"/>
            <family val="2"/>
          </rPr>
          <t xml:space="preserve">
</t>
        </r>
      </text>
    </comment>
    <comment ref="I21" authorId="0" shapeId="0" xr:uid="{00000000-0006-0000-36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36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3600-000005000000}">
      <text>
        <r>
          <rPr>
            <b/>
            <sz val="8"/>
            <color rgb="FF000000"/>
            <rFont val="Tahoma"/>
            <family val="2"/>
          </rPr>
          <t xml:space="preserve">From ALISE:
</t>
        </r>
        <r>
          <rPr>
            <b/>
            <sz val="8"/>
            <color rgb="FF000000"/>
            <rFont val="Tahoma"/>
            <family val="2"/>
          </rPr>
          <t xml:space="preserve">Part II, Table II-1,
</t>
        </r>
        <r>
          <rPr>
            <b/>
            <sz val="8"/>
            <color rgb="FF000000"/>
            <rFont val="Tahoma"/>
            <family val="2"/>
          </rPr>
          <t xml:space="preserve">Total Part-Time FTE, ALA only
</t>
        </r>
        <r>
          <rPr>
            <sz val="8"/>
            <color rgb="FF000000"/>
            <rFont val="Tahoma"/>
            <family val="2"/>
          </rPr>
          <t xml:space="preserve">
</t>
        </r>
      </text>
    </comment>
    <comment ref="N21" authorId="0" shapeId="0" xr:uid="{00000000-0006-0000-36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36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36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36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3600-00000A000000}">
      <text>
        <r>
          <rPr>
            <b/>
            <sz val="8"/>
            <color indexed="81"/>
            <rFont val="Tahoma"/>
            <family val="2"/>
          </rPr>
          <t>From ALISE:
Part IV, Line 59</t>
        </r>
        <r>
          <rPr>
            <sz val="8"/>
            <color indexed="81"/>
            <rFont val="Tahoma"/>
            <family val="2"/>
          </rPr>
          <t xml:space="preserve">
</t>
        </r>
      </text>
    </comment>
    <comment ref="U21" authorId="0" shapeId="0" xr:uid="{00000000-0006-0000-3600-00000B000000}">
      <text>
        <r>
          <rPr>
            <b/>
            <sz val="8"/>
            <color indexed="81"/>
            <rFont val="Tahoma"/>
            <family val="2"/>
          </rPr>
          <t>From ALISE:
Part IV, Line 60</t>
        </r>
        <r>
          <rPr>
            <sz val="8"/>
            <color indexed="81"/>
            <rFont val="Tahoma"/>
            <family val="2"/>
          </rPr>
          <t xml:space="preserve">
</t>
        </r>
      </text>
    </comment>
    <comment ref="V21" authorId="0" shapeId="0" xr:uid="{00000000-0006-0000-36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3600-00000D000000}">
      <text>
        <r>
          <rPr>
            <b/>
            <sz val="8"/>
            <color indexed="81"/>
            <rFont val="Tahoma"/>
            <family val="2"/>
          </rPr>
          <t>From ALISE:
Part I, Item 2, Fall</t>
        </r>
        <r>
          <rPr>
            <sz val="8"/>
            <color indexed="81"/>
            <rFont val="Tahoma"/>
            <family val="2"/>
          </rPr>
          <t xml:space="preserve">
</t>
        </r>
      </text>
    </comment>
    <comment ref="C23" authorId="0" shapeId="0" xr:uid="{00000000-0006-0000-3600-00000E000000}">
      <text>
        <r>
          <rPr>
            <b/>
            <sz val="8"/>
            <color indexed="81"/>
            <rFont val="Tahoma"/>
            <family val="2"/>
          </rPr>
          <t>From ALISE:
Part I, Item 3, Fall</t>
        </r>
        <r>
          <rPr>
            <sz val="8"/>
            <color indexed="81"/>
            <rFont val="Tahoma"/>
            <family val="2"/>
          </rPr>
          <t xml:space="preserve">
</t>
        </r>
      </text>
    </comment>
    <comment ref="I23" authorId="0" shapeId="0" xr:uid="{00000000-0006-0000-36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36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36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36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36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36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36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3600-000016000000}">
      <text>
        <r>
          <rPr>
            <b/>
            <sz val="8"/>
            <color indexed="81"/>
            <rFont val="Tahoma"/>
            <family val="2"/>
          </rPr>
          <t>From ALISE:
Part IV, Line 59</t>
        </r>
        <r>
          <rPr>
            <sz val="8"/>
            <color indexed="81"/>
            <rFont val="Tahoma"/>
            <family val="2"/>
          </rPr>
          <t xml:space="preserve">
</t>
        </r>
      </text>
    </comment>
    <comment ref="U23" authorId="0" shapeId="0" xr:uid="{00000000-0006-0000-3600-000017000000}">
      <text>
        <r>
          <rPr>
            <b/>
            <sz val="8"/>
            <color indexed="81"/>
            <rFont val="Tahoma"/>
            <family val="2"/>
          </rPr>
          <t>From ALISE:
Part IV, Line 60</t>
        </r>
        <r>
          <rPr>
            <sz val="8"/>
            <color indexed="81"/>
            <rFont val="Tahoma"/>
            <family val="2"/>
          </rPr>
          <t xml:space="preserve">
</t>
        </r>
      </text>
    </comment>
    <comment ref="V23" authorId="0" shapeId="0" xr:uid="{00000000-0006-0000-36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3700-000001000000}">
      <text>
        <r>
          <rPr>
            <b/>
            <sz val="8"/>
            <color indexed="81"/>
            <rFont val="Tahoma"/>
            <family val="2"/>
          </rPr>
          <t>From ALISE:
Part I, Item 2, Fall</t>
        </r>
        <r>
          <rPr>
            <sz val="8"/>
            <color indexed="81"/>
            <rFont val="Tahoma"/>
            <family val="2"/>
          </rPr>
          <t xml:space="preserve">
</t>
        </r>
      </text>
    </comment>
    <comment ref="C21" authorId="0" shapeId="0" xr:uid="{00000000-0006-0000-3700-000002000000}">
      <text>
        <r>
          <rPr>
            <b/>
            <sz val="8"/>
            <color rgb="FF000000"/>
            <rFont val="Tahoma"/>
            <family val="2"/>
          </rPr>
          <t xml:space="preserve">From ALISE:
</t>
        </r>
        <r>
          <rPr>
            <b/>
            <sz val="8"/>
            <color rgb="FF000000"/>
            <rFont val="Tahoma"/>
            <family val="2"/>
          </rPr>
          <t>Part I, Item 3, Fall</t>
        </r>
        <r>
          <rPr>
            <sz val="8"/>
            <color rgb="FF000000"/>
            <rFont val="Tahoma"/>
            <family val="2"/>
          </rPr>
          <t xml:space="preserve">
</t>
        </r>
      </text>
    </comment>
    <comment ref="I21" authorId="0" shapeId="0" xr:uid="{00000000-0006-0000-3700-000003000000}">
      <text>
        <r>
          <rPr>
            <b/>
            <sz val="8"/>
            <color rgb="FF000000"/>
            <rFont val="Tahoma"/>
            <family val="2"/>
          </rPr>
          <t xml:space="preserve">From ALISE:
</t>
        </r>
        <r>
          <rPr>
            <b/>
            <sz val="8"/>
            <color rgb="FF000000"/>
            <rFont val="Tahoma"/>
            <family val="2"/>
          </rPr>
          <t xml:space="preserve">Part II, Table II-1,
</t>
        </r>
        <r>
          <rPr>
            <b/>
            <sz val="8"/>
            <color rgb="FF000000"/>
            <rFont val="Tahoma"/>
            <family val="2"/>
          </rPr>
          <t xml:space="preserve">Total  Full-time,
</t>
        </r>
        <r>
          <rPr>
            <b/>
            <sz val="8"/>
            <color rgb="FF000000"/>
            <rFont val="Tahoma"/>
            <family val="2"/>
          </rPr>
          <t>ALA only</t>
        </r>
        <r>
          <rPr>
            <sz val="8"/>
            <color rgb="FF000000"/>
            <rFont val="Tahoma"/>
            <family val="2"/>
          </rPr>
          <t xml:space="preserve">
</t>
        </r>
      </text>
    </comment>
    <comment ref="J21" authorId="0" shapeId="0" xr:uid="{00000000-0006-0000-3700-000004000000}">
      <text>
        <r>
          <rPr>
            <b/>
            <sz val="8"/>
            <color rgb="FF000000"/>
            <rFont val="Tahoma"/>
            <family val="2"/>
          </rPr>
          <t xml:space="preserve">From ALISE:
</t>
        </r>
        <r>
          <rPr>
            <b/>
            <sz val="8"/>
            <color rgb="FF000000"/>
            <rFont val="Tahoma"/>
            <family val="2"/>
          </rPr>
          <t xml:space="preserve">Part II, Table II-1,
</t>
        </r>
        <r>
          <rPr>
            <b/>
            <sz val="8"/>
            <color rgb="FF000000"/>
            <rFont val="Tahoma"/>
            <family val="2"/>
          </rPr>
          <t xml:space="preserve">Total No. Part-time,
</t>
        </r>
        <r>
          <rPr>
            <b/>
            <sz val="8"/>
            <color rgb="FF000000"/>
            <rFont val="Tahoma"/>
            <family val="2"/>
          </rPr>
          <t>ALA only</t>
        </r>
        <r>
          <rPr>
            <sz val="8"/>
            <color rgb="FF000000"/>
            <rFont val="Tahoma"/>
            <family val="2"/>
          </rPr>
          <t xml:space="preserve">
</t>
        </r>
      </text>
    </comment>
    <comment ref="L21" authorId="0" shapeId="0" xr:uid="{00000000-0006-0000-37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37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37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37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3700-000009000000}">
      <text>
        <r>
          <rPr>
            <b/>
            <sz val="8"/>
            <color rgb="FF000000"/>
            <rFont val="Tahoma"/>
            <family val="2"/>
          </rPr>
          <t xml:space="preserve">From ALISE:
</t>
        </r>
        <r>
          <rPr>
            <b/>
            <sz val="8"/>
            <color rgb="FF000000"/>
            <rFont val="Tahoma"/>
            <family val="2"/>
          </rPr>
          <t>Part II, Table II-3, Total all other programs</t>
        </r>
        <r>
          <rPr>
            <sz val="8"/>
            <color rgb="FF000000"/>
            <rFont val="Tahoma"/>
            <family val="2"/>
          </rPr>
          <t xml:space="preserve">
</t>
        </r>
      </text>
    </comment>
    <comment ref="S21" authorId="0" shapeId="0" xr:uid="{00000000-0006-0000-3700-00000A000000}">
      <text>
        <r>
          <rPr>
            <b/>
            <sz val="8"/>
            <color indexed="81"/>
            <rFont val="Tahoma"/>
            <family val="2"/>
          </rPr>
          <t>From ALISE:
Part IV, Line 59</t>
        </r>
        <r>
          <rPr>
            <sz val="8"/>
            <color indexed="81"/>
            <rFont val="Tahoma"/>
            <family val="2"/>
          </rPr>
          <t xml:space="preserve">
</t>
        </r>
      </text>
    </comment>
    <comment ref="U21" authorId="0" shapeId="0" xr:uid="{00000000-0006-0000-3700-00000B000000}">
      <text>
        <r>
          <rPr>
            <b/>
            <sz val="8"/>
            <color indexed="81"/>
            <rFont val="Tahoma"/>
            <family val="2"/>
          </rPr>
          <t>From ALISE:
Part IV, Line 60</t>
        </r>
        <r>
          <rPr>
            <sz val="8"/>
            <color indexed="81"/>
            <rFont val="Tahoma"/>
            <family val="2"/>
          </rPr>
          <t xml:space="preserve">
</t>
        </r>
      </text>
    </comment>
    <comment ref="V21" authorId="0" shapeId="0" xr:uid="{00000000-0006-0000-37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3700-00000D000000}">
      <text>
        <r>
          <rPr>
            <b/>
            <sz val="8"/>
            <color indexed="81"/>
            <rFont val="Tahoma"/>
            <family val="2"/>
          </rPr>
          <t>From ALISE:
Part I, Item 2, Fall</t>
        </r>
        <r>
          <rPr>
            <sz val="8"/>
            <color indexed="81"/>
            <rFont val="Tahoma"/>
            <family val="2"/>
          </rPr>
          <t xml:space="preserve">
</t>
        </r>
      </text>
    </comment>
    <comment ref="C23" authorId="0" shapeId="0" xr:uid="{00000000-0006-0000-3700-00000E000000}">
      <text>
        <r>
          <rPr>
            <b/>
            <sz val="8"/>
            <color indexed="81"/>
            <rFont val="Tahoma"/>
            <family val="2"/>
          </rPr>
          <t>From ALISE:
Part I, Item 3, Fall</t>
        </r>
        <r>
          <rPr>
            <sz val="8"/>
            <color indexed="81"/>
            <rFont val="Tahoma"/>
            <family val="2"/>
          </rPr>
          <t xml:space="preserve">
</t>
        </r>
      </text>
    </comment>
    <comment ref="I23" authorId="0" shapeId="0" xr:uid="{00000000-0006-0000-3700-00000F000000}">
      <text>
        <r>
          <rPr>
            <b/>
            <sz val="8"/>
            <color rgb="FF000000"/>
            <rFont val="Tahoma"/>
            <family val="2"/>
          </rPr>
          <t xml:space="preserve">From ALISE:
</t>
        </r>
        <r>
          <rPr>
            <b/>
            <sz val="8"/>
            <color rgb="FF000000"/>
            <rFont val="Tahoma"/>
            <family val="2"/>
          </rPr>
          <t xml:space="preserve">Part II, Table II-1,
</t>
        </r>
        <r>
          <rPr>
            <b/>
            <sz val="8"/>
            <color rgb="FF000000"/>
            <rFont val="Tahoma"/>
            <family val="2"/>
          </rPr>
          <t xml:space="preserve">Total  Full-time,
</t>
        </r>
        <r>
          <rPr>
            <b/>
            <sz val="8"/>
            <color rgb="FF000000"/>
            <rFont val="Tahoma"/>
            <family val="2"/>
          </rPr>
          <t>ALA only</t>
        </r>
        <r>
          <rPr>
            <sz val="8"/>
            <color rgb="FF000000"/>
            <rFont val="Tahoma"/>
            <family val="2"/>
          </rPr>
          <t xml:space="preserve">
</t>
        </r>
      </text>
    </comment>
    <comment ref="J23" authorId="0" shapeId="0" xr:uid="{00000000-0006-0000-3700-000010000000}">
      <text>
        <r>
          <rPr>
            <b/>
            <sz val="8"/>
            <color rgb="FF000000"/>
            <rFont val="Tahoma"/>
            <family val="2"/>
          </rPr>
          <t xml:space="preserve">From ALISE:
</t>
        </r>
        <r>
          <rPr>
            <b/>
            <sz val="8"/>
            <color rgb="FF000000"/>
            <rFont val="Tahoma"/>
            <family val="2"/>
          </rPr>
          <t xml:space="preserve">Part II, Table II-1,
</t>
        </r>
        <r>
          <rPr>
            <b/>
            <sz val="8"/>
            <color rgb="FF000000"/>
            <rFont val="Tahoma"/>
            <family val="2"/>
          </rPr>
          <t xml:space="preserve">Total No. Part-time,
</t>
        </r>
        <r>
          <rPr>
            <b/>
            <sz val="8"/>
            <color rgb="FF000000"/>
            <rFont val="Tahoma"/>
            <family val="2"/>
          </rPr>
          <t>ALA only</t>
        </r>
        <r>
          <rPr>
            <sz val="8"/>
            <color rgb="FF000000"/>
            <rFont val="Tahoma"/>
            <family val="2"/>
          </rPr>
          <t xml:space="preserve">
</t>
        </r>
      </text>
    </comment>
    <comment ref="L23" authorId="0" shapeId="0" xr:uid="{00000000-0006-0000-37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37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37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37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37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3700-000016000000}">
      <text>
        <r>
          <rPr>
            <b/>
            <sz val="8"/>
            <color indexed="81"/>
            <rFont val="Tahoma"/>
            <family val="2"/>
          </rPr>
          <t>From ALISE:
Part IV, Line 59</t>
        </r>
        <r>
          <rPr>
            <sz val="8"/>
            <color indexed="81"/>
            <rFont val="Tahoma"/>
            <family val="2"/>
          </rPr>
          <t xml:space="preserve">
</t>
        </r>
      </text>
    </comment>
    <comment ref="U23" authorId="0" shapeId="0" xr:uid="{00000000-0006-0000-3700-000017000000}">
      <text>
        <r>
          <rPr>
            <b/>
            <sz val="8"/>
            <color rgb="FF000000"/>
            <rFont val="Tahoma"/>
            <family val="2"/>
          </rPr>
          <t xml:space="preserve">From ALISE:
</t>
        </r>
        <r>
          <rPr>
            <b/>
            <sz val="8"/>
            <color rgb="FF000000"/>
            <rFont val="Tahoma"/>
            <family val="2"/>
          </rPr>
          <t>Part IV, Line 60</t>
        </r>
        <r>
          <rPr>
            <sz val="8"/>
            <color rgb="FF000000"/>
            <rFont val="Tahoma"/>
            <family val="2"/>
          </rPr>
          <t xml:space="preserve">
</t>
        </r>
      </text>
    </comment>
    <comment ref="V23" authorId="0" shapeId="0" xr:uid="{00000000-0006-0000-37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3800-000001000000}">
      <text>
        <r>
          <rPr>
            <b/>
            <sz val="8"/>
            <color indexed="81"/>
            <rFont val="Tahoma"/>
            <family val="2"/>
          </rPr>
          <t>From ALISE:
Part I, Item 2, Fall</t>
        </r>
        <r>
          <rPr>
            <sz val="8"/>
            <color indexed="81"/>
            <rFont val="Tahoma"/>
            <family val="2"/>
          </rPr>
          <t xml:space="preserve">
</t>
        </r>
      </text>
    </comment>
    <comment ref="C21" authorId="0" shapeId="0" xr:uid="{00000000-0006-0000-3800-000002000000}">
      <text>
        <r>
          <rPr>
            <b/>
            <sz val="8"/>
            <color indexed="81"/>
            <rFont val="Tahoma"/>
            <family val="2"/>
          </rPr>
          <t>From ALISE:
Part I, Item 3, Fall</t>
        </r>
        <r>
          <rPr>
            <sz val="8"/>
            <color indexed="81"/>
            <rFont val="Tahoma"/>
            <family val="2"/>
          </rPr>
          <t xml:space="preserve">
</t>
        </r>
      </text>
    </comment>
    <comment ref="I21" authorId="0" shapeId="0" xr:uid="{00000000-0006-0000-38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38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38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38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38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38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38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3800-00000A000000}">
      <text>
        <r>
          <rPr>
            <b/>
            <sz val="8"/>
            <color indexed="81"/>
            <rFont val="Tahoma"/>
            <family val="2"/>
          </rPr>
          <t>From ALISE:
Part IV, Line 59</t>
        </r>
        <r>
          <rPr>
            <sz val="8"/>
            <color indexed="81"/>
            <rFont val="Tahoma"/>
            <family val="2"/>
          </rPr>
          <t xml:space="preserve">
</t>
        </r>
      </text>
    </comment>
    <comment ref="U21" authorId="0" shapeId="0" xr:uid="{00000000-0006-0000-3800-00000B000000}">
      <text>
        <r>
          <rPr>
            <b/>
            <sz val="8"/>
            <color indexed="81"/>
            <rFont val="Tahoma"/>
            <family val="2"/>
          </rPr>
          <t>From ALISE:
Part IV, Line 60</t>
        </r>
        <r>
          <rPr>
            <sz val="8"/>
            <color indexed="81"/>
            <rFont val="Tahoma"/>
            <family val="2"/>
          </rPr>
          <t xml:space="preserve">
</t>
        </r>
      </text>
    </comment>
    <comment ref="V21" authorId="0" shapeId="0" xr:uid="{00000000-0006-0000-38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3800-00000D000000}">
      <text>
        <r>
          <rPr>
            <b/>
            <sz val="8"/>
            <color indexed="81"/>
            <rFont val="Tahoma"/>
            <family val="2"/>
          </rPr>
          <t>From ALISE:
Part I, Item 2, Fall</t>
        </r>
        <r>
          <rPr>
            <sz val="8"/>
            <color indexed="81"/>
            <rFont val="Tahoma"/>
            <family val="2"/>
          </rPr>
          <t xml:space="preserve">
</t>
        </r>
      </text>
    </comment>
    <comment ref="C23" authorId="0" shapeId="0" xr:uid="{00000000-0006-0000-3800-00000E000000}">
      <text>
        <r>
          <rPr>
            <b/>
            <sz val="8"/>
            <color indexed="81"/>
            <rFont val="Tahoma"/>
            <family val="2"/>
          </rPr>
          <t>From ALISE:
Part I, Item 3, Fall</t>
        </r>
        <r>
          <rPr>
            <sz val="8"/>
            <color indexed="81"/>
            <rFont val="Tahoma"/>
            <family val="2"/>
          </rPr>
          <t xml:space="preserve">
</t>
        </r>
      </text>
    </comment>
    <comment ref="I23" authorId="0" shapeId="0" xr:uid="{00000000-0006-0000-38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38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38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38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38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38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38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3800-000016000000}">
      <text>
        <r>
          <rPr>
            <b/>
            <sz val="8"/>
            <color indexed="81"/>
            <rFont val="Tahoma"/>
            <family val="2"/>
          </rPr>
          <t>From ALISE:
Part IV, Line 59</t>
        </r>
        <r>
          <rPr>
            <sz val="8"/>
            <color indexed="81"/>
            <rFont val="Tahoma"/>
            <family val="2"/>
          </rPr>
          <t xml:space="preserve">
</t>
        </r>
      </text>
    </comment>
    <comment ref="U23" authorId="0" shapeId="0" xr:uid="{00000000-0006-0000-3800-000017000000}">
      <text>
        <r>
          <rPr>
            <b/>
            <sz val="8"/>
            <color indexed="81"/>
            <rFont val="Tahoma"/>
            <family val="2"/>
          </rPr>
          <t>From ALISE:
Part IV, Line 60</t>
        </r>
        <r>
          <rPr>
            <sz val="8"/>
            <color indexed="81"/>
            <rFont val="Tahoma"/>
            <family val="2"/>
          </rPr>
          <t xml:space="preserve">
</t>
        </r>
      </text>
    </comment>
    <comment ref="V23" authorId="0" shapeId="0" xr:uid="{00000000-0006-0000-38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3900-000001000000}">
      <text>
        <r>
          <rPr>
            <b/>
            <sz val="8"/>
            <color indexed="81"/>
            <rFont val="Tahoma"/>
            <family val="2"/>
          </rPr>
          <t>From ALISE:
Part I, Item 2, Fall</t>
        </r>
        <r>
          <rPr>
            <sz val="8"/>
            <color indexed="81"/>
            <rFont val="Tahoma"/>
            <family val="2"/>
          </rPr>
          <t xml:space="preserve">
</t>
        </r>
      </text>
    </comment>
    <comment ref="C21" authorId="0" shapeId="0" xr:uid="{00000000-0006-0000-3900-000002000000}">
      <text>
        <r>
          <rPr>
            <b/>
            <sz val="8"/>
            <color indexed="81"/>
            <rFont val="Tahoma"/>
            <family val="2"/>
          </rPr>
          <t>From ALISE:
Part I, Item 3, Fall</t>
        </r>
        <r>
          <rPr>
            <sz val="8"/>
            <color indexed="81"/>
            <rFont val="Tahoma"/>
            <family val="2"/>
          </rPr>
          <t xml:space="preserve">
</t>
        </r>
      </text>
    </comment>
    <comment ref="I21" authorId="0" shapeId="0" xr:uid="{00000000-0006-0000-39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39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3900-000005000000}">
      <text>
        <r>
          <rPr>
            <b/>
            <sz val="8"/>
            <color indexed="81"/>
            <rFont val="Tahoma"/>
            <family val="2"/>
          </rPr>
          <t xml:space="preserve">From ALISE:
Part II, Table II-1,
Total Part-Time FTE, ALA only
</t>
        </r>
        <r>
          <rPr>
            <sz val="8"/>
            <color indexed="81"/>
            <rFont val="Tahoma"/>
            <family val="2"/>
          </rPr>
          <t xml:space="preserve">
</t>
        </r>
      </text>
    </comment>
    <comment ref="O21" authorId="0" shapeId="0" xr:uid="{00000000-0006-0000-3900-000006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3900-000007000000}">
      <text>
        <r>
          <rPr>
            <b/>
            <sz val="8"/>
            <color indexed="81"/>
            <rFont val="Tahoma"/>
            <family val="2"/>
          </rPr>
          <t>From ALISE:
Part II, Table II-3, Total, ALA only</t>
        </r>
        <r>
          <rPr>
            <sz val="8"/>
            <color indexed="81"/>
            <rFont val="Tahoma"/>
            <family val="2"/>
          </rPr>
          <t xml:space="preserve">
</t>
        </r>
      </text>
    </comment>
    <comment ref="R21" authorId="0" shapeId="0" xr:uid="{00000000-0006-0000-3900-000008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3900-000009000000}">
      <text>
        <r>
          <rPr>
            <b/>
            <sz val="8"/>
            <color indexed="81"/>
            <rFont val="Tahoma"/>
            <family val="2"/>
          </rPr>
          <t>From ALISE:
Part IV, Line 59</t>
        </r>
        <r>
          <rPr>
            <sz val="8"/>
            <color indexed="81"/>
            <rFont val="Tahoma"/>
            <family val="2"/>
          </rPr>
          <t xml:space="preserve">
</t>
        </r>
      </text>
    </comment>
    <comment ref="U21" authorId="0" shapeId="0" xr:uid="{00000000-0006-0000-3900-00000A000000}">
      <text>
        <r>
          <rPr>
            <b/>
            <sz val="8"/>
            <color indexed="81"/>
            <rFont val="Tahoma"/>
            <family val="2"/>
          </rPr>
          <t>From ALISE:
Part IV, Line 60</t>
        </r>
        <r>
          <rPr>
            <sz val="8"/>
            <color indexed="81"/>
            <rFont val="Tahoma"/>
            <family val="2"/>
          </rPr>
          <t xml:space="preserve">
</t>
        </r>
      </text>
    </comment>
    <comment ref="V21" authorId="0" shapeId="0" xr:uid="{00000000-0006-0000-3900-00000B000000}">
      <text>
        <r>
          <rPr>
            <b/>
            <sz val="8"/>
            <color indexed="81"/>
            <rFont val="Tahoma"/>
            <family val="2"/>
          </rPr>
          <t>From ALISE:
Part IV, Total lines 61, 62, 63, 64, and 68</t>
        </r>
        <r>
          <rPr>
            <sz val="8"/>
            <color indexed="81"/>
            <rFont val="Tahoma"/>
            <family val="2"/>
          </rPr>
          <t xml:space="preserve">
</t>
        </r>
      </text>
    </comment>
    <comment ref="B22" authorId="0" shapeId="0" xr:uid="{00000000-0006-0000-3900-00000C000000}">
      <text>
        <r>
          <rPr>
            <b/>
            <sz val="8"/>
            <color indexed="81"/>
            <rFont val="Tahoma"/>
            <family val="2"/>
          </rPr>
          <t>From ALISE:
Part I, Item 2, Fall</t>
        </r>
        <r>
          <rPr>
            <sz val="8"/>
            <color indexed="81"/>
            <rFont val="Tahoma"/>
            <family val="2"/>
          </rPr>
          <t xml:space="preserve">
</t>
        </r>
      </text>
    </comment>
    <comment ref="C22" authorId="0" shapeId="0" xr:uid="{00000000-0006-0000-3900-00000D000000}">
      <text>
        <r>
          <rPr>
            <b/>
            <sz val="8"/>
            <color indexed="81"/>
            <rFont val="Tahoma"/>
            <family val="2"/>
          </rPr>
          <t>From ALISE:
Part I, Item 3, Fall</t>
        </r>
        <r>
          <rPr>
            <sz val="8"/>
            <color indexed="81"/>
            <rFont val="Tahoma"/>
            <family val="2"/>
          </rPr>
          <t xml:space="preserve">
</t>
        </r>
      </text>
    </comment>
    <comment ref="I22" authorId="0" shapeId="0" xr:uid="{00000000-0006-0000-3900-00000E000000}">
      <text>
        <r>
          <rPr>
            <b/>
            <sz val="8"/>
            <color indexed="81"/>
            <rFont val="Tahoma"/>
            <family val="2"/>
          </rPr>
          <t>From ALISE:
Part II, Table II-1,
Total  Full-time,
ALA only</t>
        </r>
        <r>
          <rPr>
            <sz val="8"/>
            <color indexed="81"/>
            <rFont val="Tahoma"/>
            <family val="2"/>
          </rPr>
          <t xml:space="preserve">
</t>
        </r>
      </text>
    </comment>
    <comment ref="J22" authorId="0" shapeId="0" xr:uid="{00000000-0006-0000-3900-00000F000000}">
      <text>
        <r>
          <rPr>
            <b/>
            <sz val="8"/>
            <color indexed="81"/>
            <rFont val="Tahoma"/>
            <family val="2"/>
          </rPr>
          <t>From ALISE:
Part II, Table II-1,
Total No. Part-time,
ALA only</t>
        </r>
        <r>
          <rPr>
            <sz val="8"/>
            <color indexed="81"/>
            <rFont val="Tahoma"/>
            <family val="2"/>
          </rPr>
          <t xml:space="preserve">
</t>
        </r>
      </text>
    </comment>
    <comment ref="L22" authorId="0" shapeId="0" xr:uid="{00000000-0006-0000-3900-000010000000}">
      <text>
        <r>
          <rPr>
            <b/>
            <sz val="8"/>
            <color indexed="81"/>
            <rFont val="Tahoma"/>
            <family val="2"/>
          </rPr>
          <t xml:space="preserve">From ALISE:
Part II, Table II-1,
Total Part-Time FTE, ALA only
</t>
        </r>
        <r>
          <rPr>
            <sz val="8"/>
            <color indexed="81"/>
            <rFont val="Tahoma"/>
            <family val="2"/>
          </rPr>
          <t xml:space="preserve">
</t>
        </r>
      </text>
    </comment>
    <comment ref="O22" authorId="0" shapeId="0" xr:uid="{00000000-0006-0000-3900-000011000000}">
      <text>
        <r>
          <rPr>
            <b/>
            <sz val="8"/>
            <color indexed="81"/>
            <rFont val="Tahoma"/>
            <family val="2"/>
          </rPr>
          <t>From ALISE:
Part II, Table II-1, Total FTE, all programs</t>
        </r>
        <r>
          <rPr>
            <sz val="8"/>
            <color indexed="81"/>
            <rFont val="Tahoma"/>
            <family val="2"/>
          </rPr>
          <t xml:space="preserve">
</t>
        </r>
      </text>
    </comment>
    <comment ref="Q22" authorId="0" shapeId="0" xr:uid="{00000000-0006-0000-3900-000012000000}">
      <text>
        <r>
          <rPr>
            <b/>
            <sz val="8"/>
            <color indexed="81"/>
            <rFont val="Tahoma"/>
            <family val="2"/>
          </rPr>
          <t>From ALISE:
Part II, Table II-3, Total, ALA only</t>
        </r>
        <r>
          <rPr>
            <sz val="8"/>
            <color indexed="81"/>
            <rFont val="Tahoma"/>
            <family val="2"/>
          </rPr>
          <t xml:space="preserve">
</t>
        </r>
      </text>
    </comment>
    <comment ref="R22" authorId="0" shapeId="0" xr:uid="{00000000-0006-0000-3900-000013000000}">
      <text>
        <r>
          <rPr>
            <b/>
            <sz val="8"/>
            <color indexed="81"/>
            <rFont val="Tahoma"/>
            <family val="2"/>
          </rPr>
          <t>From ALISE:
Part II, Table II-3, Total all other programs</t>
        </r>
        <r>
          <rPr>
            <sz val="8"/>
            <color indexed="81"/>
            <rFont val="Tahoma"/>
            <family val="2"/>
          </rPr>
          <t xml:space="preserve">
</t>
        </r>
      </text>
    </comment>
    <comment ref="S22" authorId="0" shapeId="0" xr:uid="{00000000-0006-0000-3900-000014000000}">
      <text>
        <r>
          <rPr>
            <b/>
            <sz val="8"/>
            <color indexed="81"/>
            <rFont val="Tahoma"/>
            <family val="2"/>
          </rPr>
          <t>From ALISE:
Part IV, Line 59</t>
        </r>
        <r>
          <rPr>
            <sz val="8"/>
            <color indexed="81"/>
            <rFont val="Tahoma"/>
            <family val="2"/>
          </rPr>
          <t xml:space="preserve">
</t>
        </r>
      </text>
    </comment>
    <comment ref="U22" authorId="0" shapeId="0" xr:uid="{00000000-0006-0000-3900-000015000000}">
      <text>
        <r>
          <rPr>
            <b/>
            <sz val="8"/>
            <color indexed="81"/>
            <rFont val="Tahoma"/>
            <family val="2"/>
          </rPr>
          <t>From ALISE:
Part IV, Line 60</t>
        </r>
        <r>
          <rPr>
            <sz val="8"/>
            <color indexed="81"/>
            <rFont val="Tahoma"/>
            <family val="2"/>
          </rPr>
          <t xml:space="preserve">
</t>
        </r>
      </text>
    </comment>
    <comment ref="V22" authorId="0" shapeId="0" xr:uid="{00000000-0006-0000-3900-000016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3900-000017000000}">
      <text>
        <r>
          <rPr>
            <b/>
            <sz val="8"/>
            <color indexed="81"/>
            <rFont val="Tahoma"/>
            <family val="2"/>
          </rPr>
          <t>From ALISE:
Part I, Item 2, Fall</t>
        </r>
        <r>
          <rPr>
            <sz val="8"/>
            <color indexed="81"/>
            <rFont val="Tahoma"/>
            <family val="2"/>
          </rPr>
          <t xml:space="preserve">
</t>
        </r>
      </text>
    </comment>
    <comment ref="C23" authorId="0" shapeId="0" xr:uid="{00000000-0006-0000-3900-000018000000}">
      <text>
        <r>
          <rPr>
            <b/>
            <sz val="8"/>
            <color indexed="81"/>
            <rFont val="Tahoma"/>
            <family val="2"/>
          </rPr>
          <t>From ALISE:
Part I, Item 3, Fall</t>
        </r>
        <r>
          <rPr>
            <sz val="8"/>
            <color indexed="81"/>
            <rFont val="Tahoma"/>
            <family val="2"/>
          </rPr>
          <t xml:space="preserve">
</t>
        </r>
      </text>
    </comment>
    <comment ref="I23" authorId="0" shapeId="0" xr:uid="{00000000-0006-0000-3900-000019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3900-00001A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3900-00001B000000}">
      <text>
        <r>
          <rPr>
            <b/>
            <sz val="8"/>
            <color indexed="81"/>
            <rFont val="Tahoma"/>
            <family val="2"/>
          </rPr>
          <t xml:space="preserve">From ALISE:
Part II, Table II-1,
Total Part-Time FTE, ALA only
</t>
        </r>
        <r>
          <rPr>
            <sz val="8"/>
            <color indexed="81"/>
            <rFont val="Tahoma"/>
            <family val="2"/>
          </rPr>
          <t xml:space="preserve">
</t>
        </r>
      </text>
    </comment>
    <comment ref="O23" authorId="0" shapeId="0" xr:uid="{00000000-0006-0000-3900-00001C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3900-00001D000000}">
      <text>
        <r>
          <rPr>
            <b/>
            <sz val="8"/>
            <color indexed="81"/>
            <rFont val="Tahoma"/>
            <family val="2"/>
          </rPr>
          <t>From ALISE:
Part II, Table II-3, Total, ALA only</t>
        </r>
        <r>
          <rPr>
            <sz val="8"/>
            <color indexed="81"/>
            <rFont val="Tahoma"/>
            <family val="2"/>
          </rPr>
          <t xml:space="preserve">
</t>
        </r>
      </text>
    </comment>
    <comment ref="R23" authorId="0" shapeId="0" xr:uid="{00000000-0006-0000-3900-00001E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3900-00001F000000}">
      <text>
        <r>
          <rPr>
            <b/>
            <sz val="8"/>
            <color indexed="81"/>
            <rFont val="Tahoma"/>
            <family val="2"/>
          </rPr>
          <t>From ALISE:
Part IV, Line 59</t>
        </r>
        <r>
          <rPr>
            <sz val="8"/>
            <color indexed="81"/>
            <rFont val="Tahoma"/>
            <family val="2"/>
          </rPr>
          <t xml:space="preserve">
</t>
        </r>
      </text>
    </comment>
    <comment ref="U23" authorId="0" shapeId="0" xr:uid="{00000000-0006-0000-3900-000020000000}">
      <text>
        <r>
          <rPr>
            <b/>
            <sz val="8"/>
            <color indexed="81"/>
            <rFont val="Tahoma"/>
            <family val="2"/>
          </rPr>
          <t>From ALISE:
Part IV, Line 60</t>
        </r>
        <r>
          <rPr>
            <sz val="8"/>
            <color indexed="81"/>
            <rFont val="Tahoma"/>
            <family val="2"/>
          </rPr>
          <t xml:space="preserve">
</t>
        </r>
      </text>
    </comment>
    <comment ref="V23" authorId="0" shapeId="0" xr:uid="{00000000-0006-0000-3900-000021000000}">
      <text>
        <r>
          <rPr>
            <b/>
            <sz val="8"/>
            <color indexed="81"/>
            <rFont val="Tahoma"/>
            <family val="2"/>
          </rPr>
          <t>From ALISE:
Part IV, Total lines 61, 62, 63, 64, and 68</t>
        </r>
        <r>
          <rPr>
            <sz val="8"/>
            <color indexed="81"/>
            <rFont val="Tahoma"/>
            <family val="2"/>
          </rPr>
          <t xml:space="preserve">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3B00-000001000000}">
      <text>
        <r>
          <rPr>
            <b/>
            <sz val="8"/>
            <color indexed="81"/>
            <rFont val="Tahoma"/>
            <family val="2"/>
          </rPr>
          <t>From ALISE:
Part I, Item 2, Fall</t>
        </r>
        <r>
          <rPr>
            <sz val="8"/>
            <color indexed="81"/>
            <rFont val="Tahoma"/>
            <family val="2"/>
          </rPr>
          <t xml:space="preserve">
</t>
        </r>
      </text>
    </comment>
    <comment ref="C21" authorId="0" shapeId="0" xr:uid="{00000000-0006-0000-3B00-000002000000}">
      <text>
        <r>
          <rPr>
            <b/>
            <sz val="8"/>
            <color indexed="81"/>
            <rFont val="Tahoma"/>
            <family val="2"/>
          </rPr>
          <t>From ALISE:
Part I, Item 3, Fall</t>
        </r>
        <r>
          <rPr>
            <sz val="8"/>
            <color indexed="81"/>
            <rFont val="Tahoma"/>
            <family val="2"/>
          </rPr>
          <t xml:space="preserve">
</t>
        </r>
      </text>
    </comment>
    <comment ref="I21" authorId="0" shapeId="0" xr:uid="{00000000-0006-0000-3B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3B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3B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3B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3B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3B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3B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3B00-00000A000000}">
      <text>
        <r>
          <rPr>
            <b/>
            <sz val="8"/>
            <color indexed="81"/>
            <rFont val="Tahoma"/>
            <family val="2"/>
          </rPr>
          <t>From ALISE:
Part IV, Line 59</t>
        </r>
        <r>
          <rPr>
            <sz val="8"/>
            <color indexed="81"/>
            <rFont val="Tahoma"/>
            <family val="2"/>
          </rPr>
          <t xml:space="preserve">
</t>
        </r>
      </text>
    </comment>
    <comment ref="U21" authorId="0" shapeId="0" xr:uid="{00000000-0006-0000-3B00-00000B000000}">
      <text>
        <r>
          <rPr>
            <b/>
            <sz val="8"/>
            <color indexed="81"/>
            <rFont val="Tahoma"/>
            <family val="2"/>
          </rPr>
          <t>From ALISE:
Part IV, Line 60</t>
        </r>
        <r>
          <rPr>
            <sz val="8"/>
            <color indexed="81"/>
            <rFont val="Tahoma"/>
            <family val="2"/>
          </rPr>
          <t xml:space="preserve">
</t>
        </r>
      </text>
    </comment>
    <comment ref="V21" authorId="0" shapeId="0" xr:uid="{00000000-0006-0000-3B00-00000C000000}">
      <text>
        <r>
          <rPr>
            <b/>
            <sz val="8"/>
            <color indexed="81"/>
            <rFont val="Tahoma"/>
            <family val="2"/>
          </rPr>
          <t>From ALISE:
Part IV, Total lines 61, 62, 63, 64, and 68</t>
        </r>
        <r>
          <rPr>
            <sz val="8"/>
            <color indexed="81"/>
            <rFont val="Tahoma"/>
            <family val="2"/>
          </rPr>
          <t xml:space="preserve">
</t>
        </r>
      </text>
    </comment>
    <comment ref="B22" authorId="0" shapeId="0" xr:uid="{00000000-0006-0000-3B00-00000D000000}">
      <text>
        <r>
          <rPr>
            <b/>
            <sz val="8"/>
            <color indexed="81"/>
            <rFont val="Tahoma"/>
            <family val="2"/>
          </rPr>
          <t>From ALISE:
Part I, Item 2, Fall</t>
        </r>
        <r>
          <rPr>
            <sz val="8"/>
            <color indexed="81"/>
            <rFont val="Tahoma"/>
            <family val="2"/>
          </rPr>
          <t xml:space="preserve">
</t>
        </r>
      </text>
    </comment>
    <comment ref="C22" authorId="0" shapeId="0" xr:uid="{00000000-0006-0000-3B00-00000E000000}">
      <text>
        <r>
          <rPr>
            <b/>
            <sz val="8"/>
            <color indexed="81"/>
            <rFont val="Tahoma"/>
            <family val="2"/>
          </rPr>
          <t>From ALISE:
Part I, Item 3, Fall</t>
        </r>
        <r>
          <rPr>
            <sz val="8"/>
            <color indexed="81"/>
            <rFont val="Tahoma"/>
            <family val="2"/>
          </rPr>
          <t xml:space="preserve">
</t>
        </r>
      </text>
    </comment>
    <comment ref="I22" authorId="0" shapeId="0" xr:uid="{00000000-0006-0000-3B00-00000F000000}">
      <text>
        <r>
          <rPr>
            <b/>
            <sz val="8"/>
            <color indexed="81"/>
            <rFont val="Tahoma"/>
            <family val="2"/>
          </rPr>
          <t>From ALISE:
Part II, Table II-1,
Total  Full-time,
ALA only</t>
        </r>
        <r>
          <rPr>
            <sz val="8"/>
            <color indexed="81"/>
            <rFont val="Tahoma"/>
            <family val="2"/>
          </rPr>
          <t xml:space="preserve">
</t>
        </r>
      </text>
    </comment>
    <comment ref="J22" authorId="0" shapeId="0" xr:uid="{00000000-0006-0000-3B00-000010000000}">
      <text>
        <r>
          <rPr>
            <b/>
            <sz val="8"/>
            <color indexed="81"/>
            <rFont val="Tahoma"/>
            <family val="2"/>
          </rPr>
          <t>From ALISE:
Part II, Table II-1,
Total No. Part-time,
ALA only</t>
        </r>
        <r>
          <rPr>
            <sz val="8"/>
            <color indexed="81"/>
            <rFont val="Tahoma"/>
            <family val="2"/>
          </rPr>
          <t xml:space="preserve">
</t>
        </r>
      </text>
    </comment>
    <comment ref="L22" authorId="0" shapeId="0" xr:uid="{00000000-0006-0000-3B00-000011000000}">
      <text>
        <r>
          <rPr>
            <b/>
            <sz val="8"/>
            <color indexed="81"/>
            <rFont val="Tahoma"/>
            <family val="2"/>
          </rPr>
          <t xml:space="preserve">From ALISE:
Part II, Table II-1,
Total Part-Time FTE, ALA only
</t>
        </r>
        <r>
          <rPr>
            <sz val="8"/>
            <color indexed="81"/>
            <rFont val="Tahoma"/>
            <family val="2"/>
          </rPr>
          <t xml:space="preserve">
</t>
        </r>
      </text>
    </comment>
    <comment ref="N22" authorId="0" shapeId="0" xr:uid="{00000000-0006-0000-3B00-000012000000}">
      <text>
        <r>
          <rPr>
            <b/>
            <sz val="8"/>
            <color indexed="81"/>
            <rFont val="Tahoma"/>
            <family val="2"/>
          </rPr>
          <t xml:space="preserve">From ALISE:
Part II, Table 11-4, Total AI, AP, B, and H,
ALA only  </t>
        </r>
        <r>
          <rPr>
            <sz val="8"/>
            <color indexed="81"/>
            <rFont val="Tahoma"/>
            <family val="2"/>
          </rPr>
          <t xml:space="preserve">
</t>
        </r>
      </text>
    </comment>
    <comment ref="O22" authorId="0" shapeId="0" xr:uid="{00000000-0006-0000-3B00-000013000000}">
      <text>
        <r>
          <rPr>
            <b/>
            <sz val="8"/>
            <color indexed="81"/>
            <rFont val="Tahoma"/>
            <family val="2"/>
          </rPr>
          <t>From ALISE:
Part II, Table II-1, Total FTE, all programs</t>
        </r>
        <r>
          <rPr>
            <sz val="8"/>
            <color indexed="81"/>
            <rFont val="Tahoma"/>
            <family val="2"/>
          </rPr>
          <t xml:space="preserve">
</t>
        </r>
      </text>
    </comment>
    <comment ref="Q22" authorId="0" shapeId="0" xr:uid="{00000000-0006-0000-3B00-000014000000}">
      <text>
        <r>
          <rPr>
            <b/>
            <sz val="8"/>
            <color indexed="81"/>
            <rFont val="Tahoma"/>
            <family val="2"/>
          </rPr>
          <t>From ALISE:
Part II, Table II-3, Total, ALA only</t>
        </r>
        <r>
          <rPr>
            <sz val="8"/>
            <color indexed="81"/>
            <rFont val="Tahoma"/>
            <family val="2"/>
          </rPr>
          <t xml:space="preserve">
</t>
        </r>
      </text>
    </comment>
    <comment ref="R22" authorId="0" shapeId="0" xr:uid="{00000000-0006-0000-3B00-000015000000}">
      <text>
        <r>
          <rPr>
            <b/>
            <sz val="8"/>
            <color indexed="81"/>
            <rFont val="Tahoma"/>
            <family val="2"/>
          </rPr>
          <t>From ALISE:
Part II, Table II-3, Total all other programs</t>
        </r>
        <r>
          <rPr>
            <sz val="8"/>
            <color indexed="81"/>
            <rFont val="Tahoma"/>
            <family val="2"/>
          </rPr>
          <t xml:space="preserve">
</t>
        </r>
      </text>
    </comment>
    <comment ref="S22" authorId="0" shapeId="0" xr:uid="{00000000-0006-0000-3B00-000016000000}">
      <text>
        <r>
          <rPr>
            <b/>
            <sz val="8"/>
            <color indexed="81"/>
            <rFont val="Tahoma"/>
            <family val="2"/>
          </rPr>
          <t>From ALISE:
Part IV, Line 59</t>
        </r>
        <r>
          <rPr>
            <sz val="8"/>
            <color indexed="81"/>
            <rFont val="Tahoma"/>
            <family val="2"/>
          </rPr>
          <t xml:space="preserve">
</t>
        </r>
      </text>
    </comment>
    <comment ref="U22" authorId="0" shapeId="0" xr:uid="{00000000-0006-0000-3B00-000017000000}">
      <text>
        <r>
          <rPr>
            <b/>
            <sz val="8"/>
            <color indexed="81"/>
            <rFont val="Tahoma"/>
            <family val="2"/>
          </rPr>
          <t>From ALISE:
Part IV, Line 60</t>
        </r>
        <r>
          <rPr>
            <sz val="8"/>
            <color indexed="81"/>
            <rFont val="Tahoma"/>
            <family val="2"/>
          </rPr>
          <t xml:space="preserve">
</t>
        </r>
      </text>
    </comment>
    <comment ref="V22" authorId="0" shapeId="0" xr:uid="{00000000-0006-0000-3B00-000018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3B00-000019000000}">
      <text>
        <r>
          <rPr>
            <b/>
            <sz val="8"/>
            <color indexed="81"/>
            <rFont val="Tahoma"/>
            <family val="2"/>
          </rPr>
          <t>From ALISE:
Part I, Item 2, Fall</t>
        </r>
        <r>
          <rPr>
            <sz val="8"/>
            <color indexed="81"/>
            <rFont val="Tahoma"/>
            <family val="2"/>
          </rPr>
          <t xml:space="preserve">
</t>
        </r>
      </text>
    </comment>
    <comment ref="C23" authorId="0" shapeId="0" xr:uid="{00000000-0006-0000-3B00-00001A000000}">
      <text>
        <r>
          <rPr>
            <b/>
            <sz val="8"/>
            <color indexed="81"/>
            <rFont val="Tahoma"/>
            <family val="2"/>
          </rPr>
          <t>From ALISE:
Part I, Item 3, Fall</t>
        </r>
        <r>
          <rPr>
            <sz val="8"/>
            <color indexed="81"/>
            <rFont val="Tahoma"/>
            <family val="2"/>
          </rPr>
          <t xml:space="preserve">
</t>
        </r>
      </text>
    </comment>
    <comment ref="I23" authorId="0" shapeId="0" xr:uid="{00000000-0006-0000-3B00-00001B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3B00-00001C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3B00-00001D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3B00-00001E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3B00-00001F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3B00-000020000000}">
      <text>
        <r>
          <rPr>
            <b/>
            <sz val="8"/>
            <color indexed="81"/>
            <rFont val="Tahoma"/>
            <family val="2"/>
          </rPr>
          <t>From ALISE:
Part II, Table II-3, Total, ALA only</t>
        </r>
        <r>
          <rPr>
            <sz val="8"/>
            <color indexed="81"/>
            <rFont val="Tahoma"/>
            <family val="2"/>
          </rPr>
          <t xml:space="preserve">
</t>
        </r>
      </text>
    </comment>
    <comment ref="R23" authorId="0" shapeId="0" xr:uid="{00000000-0006-0000-3B00-000021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3B00-000022000000}">
      <text>
        <r>
          <rPr>
            <b/>
            <sz val="8"/>
            <color indexed="81"/>
            <rFont val="Tahoma"/>
            <family val="2"/>
          </rPr>
          <t>From ALISE:
Part IV, Line 59</t>
        </r>
        <r>
          <rPr>
            <sz val="8"/>
            <color indexed="81"/>
            <rFont val="Tahoma"/>
            <family val="2"/>
          </rPr>
          <t xml:space="preserve">
</t>
        </r>
      </text>
    </comment>
    <comment ref="U23" authorId="0" shapeId="0" xr:uid="{00000000-0006-0000-3B00-000023000000}">
      <text>
        <r>
          <rPr>
            <b/>
            <sz val="8"/>
            <color indexed="81"/>
            <rFont val="Tahoma"/>
            <family val="2"/>
          </rPr>
          <t>From ALISE:
Part IV, Line 60</t>
        </r>
        <r>
          <rPr>
            <sz val="8"/>
            <color indexed="81"/>
            <rFont val="Tahoma"/>
            <family val="2"/>
          </rPr>
          <t xml:space="preserve">
</t>
        </r>
      </text>
    </comment>
    <comment ref="V23" authorId="0" shapeId="0" xr:uid="{00000000-0006-0000-3B00-000024000000}">
      <text>
        <r>
          <rPr>
            <b/>
            <sz val="8"/>
            <color indexed="81"/>
            <rFont val="Tahoma"/>
            <family val="2"/>
          </rPr>
          <t>From ALISE:
Part IV, Total lines 61, 62, 63, 64, and 68</t>
        </r>
        <r>
          <rPr>
            <sz val="8"/>
            <color indexed="81"/>
            <rFont val="Tahoma"/>
            <family val="2"/>
          </rPr>
          <t xml:space="preserve">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kobrien</author>
  </authors>
  <commentList>
    <comment ref="L22" authorId="0" shapeId="0" xr:uid="{00000000-0006-0000-3C00-000001000000}">
      <text>
        <r>
          <rPr>
            <b/>
            <sz val="8"/>
            <color indexed="81"/>
            <rFont val="Tahoma"/>
            <family val="2"/>
          </rPr>
          <t>kobrien:</t>
        </r>
        <r>
          <rPr>
            <sz val="8"/>
            <color indexed="81"/>
            <rFont val="Tahoma"/>
            <family val="2"/>
          </rPr>
          <t xml:space="preserve">
Corrected per program. Letter of 2/10/04.</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3D00-000001000000}">
      <text>
        <r>
          <rPr>
            <b/>
            <sz val="8"/>
            <color indexed="81"/>
            <rFont val="Tahoma"/>
            <family val="2"/>
          </rPr>
          <t>From ALISE:
Part I, Item 2, Fall</t>
        </r>
        <r>
          <rPr>
            <sz val="8"/>
            <color indexed="81"/>
            <rFont val="Tahoma"/>
            <family val="2"/>
          </rPr>
          <t xml:space="preserve">
</t>
        </r>
      </text>
    </comment>
    <comment ref="C21" authorId="0" shapeId="0" xr:uid="{00000000-0006-0000-3D00-000002000000}">
      <text>
        <r>
          <rPr>
            <b/>
            <sz val="8"/>
            <color indexed="81"/>
            <rFont val="Tahoma"/>
            <family val="2"/>
          </rPr>
          <t>From ALISE:
Part I, Item 3, Fall</t>
        </r>
        <r>
          <rPr>
            <sz val="8"/>
            <color indexed="81"/>
            <rFont val="Tahoma"/>
            <family val="2"/>
          </rPr>
          <t xml:space="preserve">
</t>
        </r>
      </text>
    </comment>
    <comment ref="I21" authorId="0" shapeId="0" xr:uid="{00000000-0006-0000-3D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3D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3D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3D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3D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3D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3D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3D00-00000A000000}">
      <text>
        <r>
          <rPr>
            <b/>
            <sz val="8"/>
            <color indexed="81"/>
            <rFont val="Tahoma"/>
            <family val="2"/>
          </rPr>
          <t>From ALISE:
Part IV, Line 59</t>
        </r>
        <r>
          <rPr>
            <sz val="8"/>
            <color indexed="81"/>
            <rFont val="Tahoma"/>
            <family val="2"/>
          </rPr>
          <t xml:space="preserve">
</t>
        </r>
      </text>
    </comment>
    <comment ref="U21" authorId="0" shapeId="0" xr:uid="{00000000-0006-0000-3D00-00000B000000}">
      <text>
        <r>
          <rPr>
            <b/>
            <sz val="8"/>
            <color indexed="81"/>
            <rFont val="Tahoma"/>
            <family val="2"/>
          </rPr>
          <t>From ALISE:
Part IV, Line 60</t>
        </r>
        <r>
          <rPr>
            <sz val="8"/>
            <color indexed="81"/>
            <rFont val="Tahoma"/>
            <family val="2"/>
          </rPr>
          <t xml:space="preserve">
</t>
        </r>
      </text>
    </comment>
    <comment ref="V21" authorId="0" shapeId="0" xr:uid="{00000000-0006-0000-3D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3D00-00000D000000}">
      <text>
        <r>
          <rPr>
            <b/>
            <sz val="8"/>
            <color indexed="81"/>
            <rFont val="Tahoma"/>
            <family val="2"/>
          </rPr>
          <t>From ALISE:
Part I, Item 2, Fall</t>
        </r>
        <r>
          <rPr>
            <sz val="8"/>
            <color indexed="81"/>
            <rFont val="Tahoma"/>
            <family val="2"/>
          </rPr>
          <t xml:space="preserve">
</t>
        </r>
      </text>
    </comment>
    <comment ref="C23" authorId="0" shapeId="0" xr:uid="{00000000-0006-0000-3D00-00000E000000}">
      <text>
        <r>
          <rPr>
            <b/>
            <sz val="8"/>
            <color indexed="81"/>
            <rFont val="Tahoma"/>
            <family val="2"/>
          </rPr>
          <t>From ALISE:
Part I, Item 3, Fall</t>
        </r>
        <r>
          <rPr>
            <sz val="8"/>
            <color indexed="81"/>
            <rFont val="Tahoma"/>
            <family val="2"/>
          </rPr>
          <t xml:space="preserve">
</t>
        </r>
      </text>
    </comment>
    <comment ref="I23" authorId="0" shapeId="0" xr:uid="{00000000-0006-0000-3D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3D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3D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3D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3D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3D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3D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3D00-000016000000}">
      <text>
        <r>
          <rPr>
            <b/>
            <sz val="8"/>
            <color indexed="81"/>
            <rFont val="Tahoma"/>
            <family val="2"/>
          </rPr>
          <t>From ALISE:
Part IV, Line 59</t>
        </r>
        <r>
          <rPr>
            <sz val="8"/>
            <color indexed="81"/>
            <rFont val="Tahoma"/>
            <family val="2"/>
          </rPr>
          <t xml:space="preserve">
</t>
        </r>
      </text>
    </comment>
    <comment ref="U23" authorId="0" shapeId="0" xr:uid="{00000000-0006-0000-3D00-000017000000}">
      <text>
        <r>
          <rPr>
            <b/>
            <sz val="8"/>
            <color indexed="81"/>
            <rFont val="Tahoma"/>
            <family val="2"/>
          </rPr>
          <t>From ALISE:
Part IV, Line 60</t>
        </r>
        <r>
          <rPr>
            <sz val="8"/>
            <color indexed="81"/>
            <rFont val="Tahoma"/>
            <family val="2"/>
          </rPr>
          <t xml:space="preserve">
</t>
        </r>
      </text>
    </comment>
    <comment ref="V23" authorId="0" shapeId="0" xr:uid="{00000000-0006-0000-3D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3E00-000001000000}">
      <text>
        <r>
          <rPr>
            <b/>
            <sz val="8"/>
            <color indexed="81"/>
            <rFont val="Tahoma"/>
            <family val="2"/>
          </rPr>
          <t>From ALISE:
Part I, Item 2, Fall</t>
        </r>
        <r>
          <rPr>
            <sz val="8"/>
            <color indexed="81"/>
            <rFont val="Tahoma"/>
            <family val="2"/>
          </rPr>
          <t xml:space="preserve">
</t>
        </r>
      </text>
    </comment>
    <comment ref="C21" authorId="0" shapeId="0" xr:uid="{00000000-0006-0000-3E00-000002000000}">
      <text>
        <r>
          <rPr>
            <b/>
            <sz val="8"/>
            <color indexed="81"/>
            <rFont val="Tahoma"/>
            <family val="2"/>
          </rPr>
          <t>From ALISE:
Part I, Item 3, Fall</t>
        </r>
        <r>
          <rPr>
            <sz val="8"/>
            <color indexed="81"/>
            <rFont val="Tahoma"/>
            <family val="2"/>
          </rPr>
          <t xml:space="preserve">
</t>
        </r>
      </text>
    </comment>
    <comment ref="I21" authorId="0" shapeId="0" xr:uid="{00000000-0006-0000-3E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3E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3E00-000005000000}">
      <text>
        <r>
          <rPr>
            <b/>
            <sz val="8"/>
            <color indexed="81"/>
            <rFont val="Tahoma"/>
            <family val="2"/>
          </rPr>
          <t xml:space="preserve">From ALISE:
Part II, Table II-1,
Total Part-Time FTE, ALA only
</t>
        </r>
        <r>
          <rPr>
            <sz val="8"/>
            <color indexed="81"/>
            <rFont val="Tahoma"/>
            <family val="2"/>
          </rPr>
          <t xml:space="preserve">
</t>
        </r>
      </text>
    </comment>
    <comment ref="O21" authorId="0" shapeId="0" xr:uid="{00000000-0006-0000-3E00-000006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3E00-000007000000}">
      <text>
        <r>
          <rPr>
            <b/>
            <sz val="8"/>
            <color indexed="81"/>
            <rFont val="Tahoma"/>
            <family val="2"/>
          </rPr>
          <t>From ALISE:
Part II, Table II-3, Total, ALA only</t>
        </r>
        <r>
          <rPr>
            <sz val="8"/>
            <color indexed="81"/>
            <rFont val="Tahoma"/>
            <family val="2"/>
          </rPr>
          <t xml:space="preserve">
</t>
        </r>
      </text>
    </comment>
    <comment ref="R21" authorId="0" shapeId="0" xr:uid="{00000000-0006-0000-3E00-000008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3E00-000009000000}">
      <text>
        <r>
          <rPr>
            <b/>
            <sz val="8"/>
            <color indexed="81"/>
            <rFont val="Tahoma"/>
            <family val="2"/>
          </rPr>
          <t>From ALISE:
Part IV, Line 59</t>
        </r>
        <r>
          <rPr>
            <sz val="8"/>
            <color indexed="81"/>
            <rFont val="Tahoma"/>
            <family val="2"/>
          </rPr>
          <t xml:space="preserve">
</t>
        </r>
      </text>
    </comment>
    <comment ref="U21" authorId="0" shapeId="0" xr:uid="{00000000-0006-0000-3E00-00000A000000}">
      <text>
        <r>
          <rPr>
            <b/>
            <sz val="8"/>
            <color indexed="81"/>
            <rFont val="Tahoma"/>
            <family val="2"/>
          </rPr>
          <t>From ALISE:
Part IV, Line 60</t>
        </r>
        <r>
          <rPr>
            <sz val="8"/>
            <color indexed="81"/>
            <rFont val="Tahoma"/>
            <family val="2"/>
          </rPr>
          <t xml:space="preserve">
</t>
        </r>
      </text>
    </comment>
    <comment ref="V21" authorId="0" shapeId="0" xr:uid="{00000000-0006-0000-3E00-00000B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3E00-00000C000000}">
      <text>
        <r>
          <rPr>
            <b/>
            <sz val="8"/>
            <color indexed="81"/>
            <rFont val="Tahoma"/>
            <family val="2"/>
          </rPr>
          <t>From ALISE:
Part I, Item 2, Fall</t>
        </r>
        <r>
          <rPr>
            <sz val="8"/>
            <color indexed="81"/>
            <rFont val="Tahoma"/>
            <family val="2"/>
          </rPr>
          <t xml:space="preserve">
</t>
        </r>
      </text>
    </comment>
    <comment ref="C23" authorId="0" shapeId="0" xr:uid="{00000000-0006-0000-3E00-00000D000000}">
      <text>
        <r>
          <rPr>
            <b/>
            <sz val="8"/>
            <color indexed="81"/>
            <rFont val="Tahoma"/>
            <family val="2"/>
          </rPr>
          <t>From ALISE:
Part I, Item 3, Fall</t>
        </r>
        <r>
          <rPr>
            <sz val="8"/>
            <color indexed="81"/>
            <rFont val="Tahoma"/>
            <family val="2"/>
          </rPr>
          <t xml:space="preserve">
</t>
        </r>
      </text>
    </comment>
    <comment ref="I23" authorId="0" shapeId="0" xr:uid="{00000000-0006-0000-3E00-00000E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3E00-00000F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3E00-000010000000}">
      <text>
        <r>
          <rPr>
            <b/>
            <sz val="8"/>
            <color indexed="81"/>
            <rFont val="Tahoma"/>
            <family val="2"/>
          </rPr>
          <t xml:space="preserve">From ALISE:
Part II, Table II-1,
Total Part-Time FTE, ALA only
</t>
        </r>
        <r>
          <rPr>
            <sz val="8"/>
            <color indexed="81"/>
            <rFont val="Tahoma"/>
            <family val="2"/>
          </rPr>
          <t xml:space="preserve">
</t>
        </r>
      </text>
    </comment>
    <comment ref="O23" authorId="0" shapeId="0" xr:uid="{00000000-0006-0000-3E00-000011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3E00-000012000000}">
      <text>
        <r>
          <rPr>
            <b/>
            <sz val="8"/>
            <color indexed="81"/>
            <rFont val="Tahoma"/>
            <family val="2"/>
          </rPr>
          <t>From ALISE:
Part II, Table II-3, Total, ALA only</t>
        </r>
        <r>
          <rPr>
            <sz val="8"/>
            <color indexed="81"/>
            <rFont val="Tahoma"/>
            <family val="2"/>
          </rPr>
          <t xml:space="preserve">
</t>
        </r>
      </text>
    </comment>
    <comment ref="R23" authorId="0" shapeId="0" xr:uid="{00000000-0006-0000-3E00-000013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3E00-000014000000}">
      <text>
        <r>
          <rPr>
            <b/>
            <sz val="8"/>
            <color indexed="81"/>
            <rFont val="Tahoma"/>
            <family val="2"/>
          </rPr>
          <t>From ALISE:
Part IV, Line 59</t>
        </r>
        <r>
          <rPr>
            <sz val="8"/>
            <color indexed="81"/>
            <rFont val="Tahoma"/>
            <family val="2"/>
          </rPr>
          <t xml:space="preserve">
</t>
        </r>
      </text>
    </comment>
    <comment ref="U23" authorId="0" shapeId="0" xr:uid="{00000000-0006-0000-3E00-000015000000}">
      <text>
        <r>
          <rPr>
            <b/>
            <sz val="8"/>
            <color indexed="81"/>
            <rFont val="Tahoma"/>
            <family val="2"/>
          </rPr>
          <t>From ALISE:
Part IV, Line 60</t>
        </r>
        <r>
          <rPr>
            <sz val="8"/>
            <color indexed="81"/>
            <rFont val="Tahoma"/>
            <family val="2"/>
          </rPr>
          <t xml:space="preserve">
</t>
        </r>
      </text>
    </comment>
    <comment ref="V23" authorId="0" shapeId="0" xr:uid="{00000000-0006-0000-3E00-000016000000}">
      <text>
        <r>
          <rPr>
            <b/>
            <sz val="8"/>
            <color indexed="81"/>
            <rFont val="Tahoma"/>
            <family val="2"/>
          </rPr>
          <t>From ALISE:
Part IV, Total lines 61, 62, 63, 64, and 68</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tc={B64E62C7-CB38-49FD-BB0A-B3E46C34C956}</author>
    <author>tc={873B1E28-64F9-428E-BA50-68031C155029}</author>
    <author>Karen O'Brien</author>
  </authors>
  <commentList>
    <comment ref="V3" authorId="0" shapeId="0" xr:uid="{B64E62C7-CB38-49FD-BB0A-B3E46C34C956}">
      <text>
        <t>[Threaded comment]
Your version of Excel allows you to read this threaded comment; however, any edits to it will get removed if the file is opened in a newer version of Excel. Learn more: https://go.microsoft.com/fwlink/?linkid=870924
Comment:
    Income Parent Institution includes: federal grants/contracts, CE activities, endowment/trust funds, state/provincial grants/contracts.  We moved grants that were reported in previous years in cell V3 to U3 based on this instruction, and we do not currently have any industry funded grants or other sources of funding that fall outside the scope of Income Parent Institution. Therefore, in cell V3 we reported zero.</t>
      </text>
    </comment>
    <comment ref="V6" authorId="1" shapeId="0" xr:uid="{873B1E28-64F9-428E-BA50-68031C155029}">
      <text>
        <t>[Threaded comment]
Your version of Excel allows you to read this threaded comment; however, any edits to it will get removed if the file is opened in a newer version of Excel. Learn more: https://go.microsoft.com/fwlink/?linkid=870924
Comment:
    Income Parent Institution includes: federal grants/contracts, CE activities, endowment/trust funds, state/provincial grants/contracts.  We moved grants that were reported in previous years in cell V3 to U3 based on this instruction, and we do not currently have any industry funded grants or other sources of funding that fall outside the scope of Income Parent Institution. Therefore, in cell V3 we reported zero.</t>
      </text>
    </comment>
    <comment ref="B18" authorId="2" shapeId="0" xr:uid="{00000000-0006-0000-0500-000001000000}">
      <text>
        <r>
          <rPr>
            <b/>
            <sz val="8"/>
            <color indexed="81"/>
            <rFont val="Tahoma"/>
            <family val="2"/>
          </rPr>
          <t>From ALISE:
Part I, Item 2, Fall</t>
        </r>
        <r>
          <rPr>
            <sz val="8"/>
            <color indexed="81"/>
            <rFont val="Tahoma"/>
            <family val="2"/>
          </rPr>
          <t xml:space="preserve">
</t>
        </r>
      </text>
    </comment>
    <comment ref="C18" authorId="2" shapeId="0" xr:uid="{00000000-0006-0000-0500-000002000000}">
      <text>
        <r>
          <rPr>
            <b/>
            <sz val="8"/>
            <color indexed="81"/>
            <rFont val="Tahoma"/>
            <family val="2"/>
          </rPr>
          <t>From ALISE:
Part I, Item 3, Fall</t>
        </r>
        <r>
          <rPr>
            <sz val="8"/>
            <color indexed="81"/>
            <rFont val="Tahoma"/>
            <family val="2"/>
          </rPr>
          <t xml:space="preserve">
</t>
        </r>
      </text>
    </comment>
    <comment ref="I18" authorId="2" shapeId="0" xr:uid="{00000000-0006-0000-0500-000003000000}">
      <text>
        <r>
          <rPr>
            <b/>
            <sz val="8"/>
            <color indexed="81"/>
            <rFont val="Tahoma"/>
            <family val="2"/>
          </rPr>
          <t>From ALISE:
Part II, Table II-1,
Total  Full-time,
ALA only</t>
        </r>
        <r>
          <rPr>
            <sz val="8"/>
            <color indexed="81"/>
            <rFont val="Tahoma"/>
            <family val="2"/>
          </rPr>
          <t xml:space="preserve">
</t>
        </r>
      </text>
    </comment>
    <comment ref="J18" authorId="2" shapeId="0" xr:uid="{00000000-0006-0000-0500-000004000000}">
      <text>
        <r>
          <rPr>
            <b/>
            <sz val="8"/>
            <color indexed="81"/>
            <rFont val="Tahoma"/>
            <family val="2"/>
          </rPr>
          <t>From ALISE:
Part II, Table II-1,
Total No. Part-time,
ALA only</t>
        </r>
        <r>
          <rPr>
            <sz val="8"/>
            <color indexed="81"/>
            <rFont val="Tahoma"/>
            <family val="2"/>
          </rPr>
          <t xml:space="preserve">
</t>
        </r>
      </text>
    </comment>
    <comment ref="L18" authorId="2" shapeId="0" xr:uid="{00000000-0006-0000-0500-000005000000}">
      <text>
        <r>
          <rPr>
            <b/>
            <sz val="8"/>
            <color indexed="81"/>
            <rFont val="Tahoma"/>
            <family val="2"/>
          </rPr>
          <t xml:space="preserve">From ALISE:
Part II, Table II-1,
Total Part-Time FTE, ALA only
</t>
        </r>
        <r>
          <rPr>
            <sz val="8"/>
            <color indexed="81"/>
            <rFont val="Tahoma"/>
            <family val="2"/>
          </rPr>
          <t xml:space="preserve">
</t>
        </r>
      </text>
    </comment>
    <comment ref="N18" authorId="2" shapeId="0" xr:uid="{00000000-0006-0000-0500-000006000000}">
      <text>
        <r>
          <rPr>
            <b/>
            <sz val="8"/>
            <color indexed="81"/>
            <rFont val="Tahoma"/>
            <family val="2"/>
          </rPr>
          <t xml:space="preserve">From ALISE:
Part II, Table 11-4, Total AI, AP, B, and H,
ALA only  </t>
        </r>
        <r>
          <rPr>
            <sz val="8"/>
            <color indexed="81"/>
            <rFont val="Tahoma"/>
            <family val="2"/>
          </rPr>
          <t xml:space="preserve">
</t>
        </r>
      </text>
    </comment>
    <comment ref="O18" authorId="2" shapeId="0" xr:uid="{00000000-0006-0000-0500-000007000000}">
      <text>
        <r>
          <rPr>
            <b/>
            <sz val="8"/>
            <color indexed="81"/>
            <rFont val="Tahoma"/>
            <family val="2"/>
          </rPr>
          <t>From ALISE:
Part II, Table II-1, Total FTE, all programs</t>
        </r>
        <r>
          <rPr>
            <sz val="8"/>
            <color indexed="81"/>
            <rFont val="Tahoma"/>
            <family val="2"/>
          </rPr>
          <t xml:space="preserve">
</t>
        </r>
      </text>
    </comment>
    <comment ref="Q18" authorId="2" shapeId="0" xr:uid="{00000000-0006-0000-0500-000008000000}">
      <text>
        <r>
          <rPr>
            <b/>
            <sz val="8"/>
            <color indexed="81"/>
            <rFont val="Tahoma"/>
            <family val="2"/>
          </rPr>
          <t>From ALISE:
Part II, Table II-3, Total, ALA only</t>
        </r>
        <r>
          <rPr>
            <sz val="8"/>
            <color indexed="81"/>
            <rFont val="Tahoma"/>
            <family val="2"/>
          </rPr>
          <t xml:space="preserve">
</t>
        </r>
      </text>
    </comment>
    <comment ref="R18" authorId="2" shapeId="0" xr:uid="{00000000-0006-0000-0500-000009000000}">
      <text>
        <r>
          <rPr>
            <b/>
            <sz val="8"/>
            <color indexed="81"/>
            <rFont val="Tahoma"/>
            <family val="2"/>
          </rPr>
          <t>From ALISE:
Part II, Table II-3, Total all other programs</t>
        </r>
        <r>
          <rPr>
            <sz val="8"/>
            <color indexed="81"/>
            <rFont val="Tahoma"/>
            <family val="2"/>
          </rPr>
          <t xml:space="preserve">
</t>
        </r>
      </text>
    </comment>
    <comment ref="S18" authorId="2" shapeId="0" xr:uid="{00000000-0006-0000-0500-00000A000000}">
      <text>
        <r>
          <rPr>
            <b/>
            <sz val="8"/>
            <color indexed="81"/>
            <rFont val="Tahoma"/>
            <family val="2"/>
          </rPr>
          <t>From ALISE:
Part IV, Line 59</t>
        </r>
        <r>
          <rPr>
            <sz val="8"/>
            <color indexed="81"/>
            <rFont val="Tahoma"/>
            <family val="2"/>
          </rPr>
          <t xml:space="preserve">
</t>
        </r>
      </text>
    </comment>
    <comment ref="U18" authorId="2" shapeId="0" xr:uid="{00000000-0006-0000-0500-00000B000000}">
      <text>
        <r>
          <rPr>
            <b/>
            <sz val="8"/>
            <color indexed="81"/>
            <rFont val="Tahoma"/>
            <family val="2"/>
          </rPr>
          <t>From ALISE:
Part IV, Line 60</t>
        </r>
        <r>
          <rPr>
            <sz val="8"/>
            <color indexed="81"/>
            <rFont val="Tahoma"/>
            <family val="2"/>
          </rPr>
          <t xml:space="preserve">
</t>
        </r>
      </text>
    </comment>
    <comment ref="V18" authorId="2" shapeId="0" xr:uid="{00000000-0006-0000-0500-00000C000000}">
      <text>
        <r>
          <rPr>
            <b/>
            <sz val="8"/>
            <color indexed="81"/>
            <rFont val="Tahoma"/>
            <family val="2"/>
          </rPr>
          <t>From ALISE:
Part IV, Total lines 61, 62, 63, 64, and 68</t>
        </r>
        <r>
          <rPr>
            <sz val="8"/>
            <color indexed="81"/>
            <rFont val="Tahoma"/>
            <family val="2"/>
          </rPr>
          <t xml:space="preserve">
</t>
        </r>
      </text>
    </comment>
    <comment ref="B19" authorId="2" shapeId="0" xr:uid="{00000000-0006-0000-0500-00000D000000}">
      <text>
        <r>
          <rPr>
            <b/>
            <sz val="8"/>
            <color indexed="81"/>
            <rFont val="Tahoma"/>
            <family val="2"/>
          </rPr>
          <t>From ALISE:
Part I, Item 2, Fall</t>
        </r>
        <r>
          <rPr>
            <sz val="8"/>
            <color indexed="81"/>
            <rFont val="Tahoma"/>
            <family val="2"/>
          </rPr>
          <t xml:space="preserve">
</t>
        </r>
      </text>
    </comment>
    <comment ref="C19" authorId="2" shapeId="0" xr:uid="{00000000-0006-0000-0500-00000E000000}">
      <text>
        <r>
          <rPr>
            <b/>
            <sz val="8"/>
            <color indexed="81"/>
            <rFont val="Tahoma"/>
            <family val="2"/>
          </rPr>
          <t>From ALISE:
Part I, Item 3, Fall</t>
        </r>
        <r>
          <rPr>
            <sz val="8"/>
            <color indexed="81"/>
            <rFont val="Tahoma"/>
            <family val="2"/>
          </rPr>
          <t xml:space="preserve">
</t>
        </r>
      </text>
    </comment>
    <comment ref="I19" authorId="2" shapeId="0" xr:uid="{00000000-0006-0000-0500-00000F000000}">
      <text>
        <r>
          <rPr>
            <b/>
            <sz val="8"/>
            <color indexed="81"/>
            <rFont val="Tahoma"/>
            <family val="2"/>
          </rPr>
          <t>From ALISE:
Part II, Table II-1,
Total  Full-time,
ALA only</t>
        </r>
        <r>
          <rPr>
            <sz val="8"/>
            <color indexed="81"/>
            <rFont val="Tahoma"/>
            <family val="2"/>
          </rPr>
          <t xml:space="preserve">
</t>
        </r>
      </text>
    </comment>
    <comment ref="J19" authorId="2" shapeId="0" xr:uid="{00000000-0006-0000-0500-000010000000}">
      <text>
        <r>
          <rPr>
            <b/>
            <sz val="8"/>
            <color indexed="81"/>
            <rFont val="Tahoma"/>
            <family val="2"/>
          </rPr>
          <t>From ALISE:
Part II, Table II-1,
Total No. Part-time,
ALA only</t>
        </r>
        <r>
          <rPr>
            <sz val="8"/>
            <color indexed="81"/>
            <rFont val="Tahoma"/>
            <family val="2"/>
          </rPr>
          <t xml:space="preserve">
</t>
        </r>
      </text>
    </comment>
    <comment ref="L19" authorId="2" shapeId="0" xr:uid="{00000000-0006-0000-0500-000011000000}">
      <text>
        <r>
          <rPr>
            <b/>
            <sz val="8"/>
            <color indexed="81"/>
            <rFont val="Tahoma"/>
            <family val="2"/>
          </rPr>
          <t xml:space="preserve">From ALISE:
Part II, Table II-1,
Total Part-Time FTE, ALA only
</t>
        </r>
        <r>
          <rPr>
            <sz val="8"/>
            <color indexed="81"/>
            <rFont val="Tahoma"/>
            <family val="2"/>
          </rPr>
          <t xml:space="preserve">
</t>
        </r>
      </text>
    </comment>
    <comment ref="N19" authorId="2" shapeId="0" xr:uid="{00000000-0006-0000-0500-000012000000}">
      <text>
        <r>
          <rPr>
            <b/>
            <sz val="8"/>
            <color indexed="81"/>
            <rFont val="Tahoma"/>
            <family val="2"/>
          </rPr>
          <t xml:space="preserve">From ALISE:
Part II, Table 11-4, Total AI, AP, B, and H,
ALA only  </t>
        </r>
        <r>
          <rPr>
            <sz val="8"/>
            <color indexed="81"/>
            <rFont val="Tahoma"/>
            <family val="2"/>
          </rPr>
          <t xml:space="preserve">
</t>
        </r>
      </text>
    </comment>
    <comment ref="O19" authorId="2" shapeId="0" xr:uid="{00000000-0006-0000-0500-000013000000}">
      <text>
        <r>
          <rPr>
            <b/>
            <sz val="8"/>
            <color indexed="81"/>
            <rFont val="Tahoma"/>
            <family val="2"/>
          </rPr>
          <t>From ALISE:
Part II, Table II-1, Total FTE, all programs</t>
        </r>
        <r>
          <rPr>
            <sz val="8"/>
            <color indexed="81"/>
            <rFont val="Tahoma"/>
            <family val="2"/>
          </rPr>
          <t xml:space="preserve">
</t>
        </r>
      </text>
    </comment>
    <comment ref="Q19" authorId="2" shapeId="0" xr:uid="{00000000-0006-0000-0500-000014000000}">
      <text>
        <r>
          <rPr>
            <b/>
            <sz val="8"/>
            <color indexed="81"/>
            <rFont val="Tahoma"/>
            <family val="2"/>
          </rPr>
          <t>From ALISE:
Part II, Table II-3, Total, ALA only</t>
        </r>
        <r>
          <rPr>
            <sz val="8"/>
            <color indexed="81"/>
            <rFont val="Tahoma"/>
            <family val="2"/>
          </rPr>
          <t xml:space="preserve">
</t>
        </r>
      </text>
    </comment>
    <comment ref="R19" authorId="2" shapeId="0" xr:uid="{00000000-0006-0000-0500-000015000000}">
      <text>
        <r>
          <rPr>
            <b/>
            <sz val="8"/>
            <color indexed="81"/>
            <rFont val="Tahoma"/>
            <family val="2"/>
          </rPr>
          <t>From ALISE:
Part II, Table II-3, Total all other programs</t>
        </r>
        <r>
          <rPr>
            <sz val="8"/>
            <color indexed="81"/>
            <rFont val="Tahoma"/>
            <family val="2"/>
          </rPr>
          <t xml:space="preserve">
</t>
        </r>
      </text>
    </comment>
    <comment ref="S19" authorId="2" shapeId="0" xr:uid="{00000000-0006-0000-0500-000016000000}">
      <text>
        <r>
          <rPr>
            <b/>
            <sz val="8"/>
            <color indexed="81"/>
            <rFont val="Tahoma"/>
            <family val="2"/>
          </rPr>
          <t>From ALISE:
Part IV, Line 59</t>
        </r>
        <r>
          <rPr>
            <sz val="8"/>
            <color indexed="81"/>
            <rFont val="Tahoma"/>
            <family val="2"/>
          </rPr>
          <t xml:space="preserve">
</t>
        </r>
      </text>
    </comment>
    <comment ref="U19" authorId="2" shapeId="0" xr:uid="{00000000-0006-0000-0500-000017000000}">
      <text>
        <r>
          <rPr>
            <b/>
            <sz val="8"/>
            <color indexed="81"/>
            <rFont val="Tahoma"/>
            <family val="2"/>
          </rPr>
          <t>From ALISE:
Part IV, Line 60</t>
        </r>
        <r>
          <rPr>
            <sz val="8"/>
            <color indexed="81"/>
            <rFont val="Tahoma"/>
            <family val="2"/>
          </rPr>
          <t xml:space="preserve">
</t>
        </r>
      </text>
    </comment>
    <comment ref="V19" authorId="2" shapeId="0" xr:uid="{00000000-0006-0000-0500-000018000000}">
      <text>
        <r>
          <rPr>
            <b/>
            <sz val="8"/>
            <color indexed="81"/>
            <rFont val="Tahoma"/>
            <family val="2"/>
          </rPr>
          <t>From ALISE:
Part IV, Total lines 61, 62, 63, 64, and 68</t>
        </r>
        <r>
          <rPr>
            <sz val="8"/>
            <color indexed="81"/>
            <rFont val="Tahoma"/>
            <family val="2"/>
          </rPr>
          <t xml:space="preserve">
</t>
        </r>
      </text>
    </comment>
    <comment ref="N20" authorId="2" shapeId="0" xr:uid="{00000000-0006-0000-0500-000019000000}">
      <text>
        <r>
          <rPr>
            <b/>
            <sz val="8"/>
            <color indexed="81"/>
            <rFont val="Tahoma"/>
            <family val="2"/>
          </rPr>
          <t xml:space="preserve">From ALISE:
Part II, Table 11-4, Total AI, AP, B, and H,
ALA only  </t>
        </r>
        <r>
          <rPr>
            <sz val="8"/>
            <color indexed="81"/>
            <rFont val="Tahoma"/>
            <family val="2"/>
          </rPr>
          <t xml:space="preserve">
</t>
        </r>
      </text>
    </comment>
    <comment ref="B21" authorId="2" shapeId="0" xr:uid="{00000000-0006-0000-0500-00001A000000}">
      <text>
        <r>
          <rPr>
            <b/>
            <sz val="8"/>
            <color indexed="81"/>
            <rFont val="Tahoma"/>
            <family val="2"/>
          </rPr>
          <t>From ALISE:
Part I, Item 2, Fall</t>
        </r>
        <r>
          <rPr>
            <sz val="8"/>
            <color indexed="81"/>
            <rFont val="Tahoma"/>
            <family val="2"/>
          </rPr>
          <t xml:space="preserve">
</t>
        </r>
      </text>
    </comment>
    <comment ref="C21" authorId="2" shapeId="0" xr:uid="{00000000-0006-0000-0500-00001B000000}">
      <text>
        <r>
          <rPr>
            <b/>
            <sz val="8"/>
            <color indexed="81"/>
            <rFont val="Tahoma"/>
            <family val="2"/>
          </rPr>
          <t>From ALISE:
Part I, Item 3, Fall</t>
        </r>
        <r>
          <rPr>
            <sz val="8"/>
            <color indexed="81"/>
            <rFont val="Tahoma"/>
            <family val="2"/>
          </rPr>
          <t xml:space="preserve">
</t>
        </r>
      </text>
    </comment>
    <comment ref="I21" authorId="2" shapeId="0" xr:uid="{00000000-0006-0000-0500-00001C000000}">
      <text>
        <r>
          <rPr>
            <b/>
            <sz val="8"/>
            <color indexed="81"/>
            <rFont val="Tahoma"/>
            <family val="2"/>
          </rPr>
          <t>From ALISE:
Part II, Table II-1,
Total  Full-time,
ALA only</t>
        </r>
        <r>
          <rPr>
            <sz val="8"/>
            <color indexed="81"/>
            <rFont val="Tahoma"/>
            <family val="2"/>
          </rPr>
          <t xml:space="preserve">
</t>
        </r>
      </text>
    </comment>
    <comment ref="J21" authorId="2" shapeId="0" xr:uid="{00000000-0006-0000-0500-00001D000000}">
      <text>
        <r>
          <rPr>
            <b/>
            <sz val="8"/>
            <color indexed="81"/>
            <rFont val="Tahoma"/>
            <family val="2"/>
          </rPr>
          <t>From ALISE:
Part II, Table II-1,
Total No. Part-time,
ALA only</t>
        </r>
        <r>
          <rPr>
            <sz val="8"/>
            <color indexed="81"/>
            <rFont val="Tahoma"/>
            <family val="2"/>
          </rPr>
          <t xml:space="preserve">
</t>
        </r>
      </text>
    </comment>
    <comment ref="L21" authorId="2" shapeId="0" xr:uid="{00000000-0006-0000-0500-00001E000000}">
      <text>
        <r>
          <rPr>
            <b/>
            <sz val="8"/>
            <color indexed="81"/>
            <rFont val="Tahoma"/>
            <family val="2"/>
          </rPr>
          <t xml:space="preserve">From ALISE:
Part II, Table II-1,
Total Part-Time FTE, ALA only
</t>
        </r>
        <r>
          <rPr>
            <sz val="8"/>
            <color indexed="81"/>
            <rFont val="Tahoma"/>
            <family val="2"/>
          </rPr>
          <t xml:space="preserve">
</t>
        </r>
      </text>
    </comment>
    <comment ref="N21" authorId="2" shapeId="0" xr:uid="{00000000-0006-0000-0500-00001F000000}">
      <text>
        <r>
          <rPr>
            <b/>
            <sz val="8"/>
            <color indexed="81"/>
            <rFont val="Tahoma"/>
            <family val="2"/>
          </rPr>
          <t xml:space="preserve">From ALISE:
Part II, Table 11-4, Total AI, AP, B, and H,
ALA only  </t>
        </r>
        <r>
          <rPr>
            <sz val="8"/>
            <color indexed="81"/>
            <rFont val="Tahoma"/>
            <family val="2"/>
          </rPr>
          <t xml:space="preserve">
</t>
        </r>
      </text>
    </comment>
    <comment ref="O21" authorId="2" shapeId="0" xr:uid="{00000000-0006-0000-0500-000020000000}">
      <text>
        <r>
          <rPr>
            <b/>
            <sz val="8"/>
            <color indexed="81"/>
            <rFont val="Tahoma"/>
            <family val="2"/>
          </rPr>
          <t>From ALISE:
Part II, Table II-1, Total FTE, all programs</t>
        </r>
        <r>
          <rPr>
            <sz val="8"/>
            <color indexed="81"/>
            <rFont val="Tahoma"/>
            <family val="2"/>
          </rPr>
          <t xml:space="preserve">
</t>
        </r>
      </text>
    </comment>
    <comment ref="Q21" authorId="2" shapeId="0" xr:uid="{00000000-0006-0000-0500-000021000000}">
      <text>
        <r>
          <rPr>
            <b/>
            <sz val="8"/>
            <color indexed="81"/>
            <rFont val="Tahoma"/>
            <family val="2"/>
          </rPr>
          <t>From ALISE:
Part II, Table II-3, Total, ALA only</t>
        </r>
        <r>
          <rPr>
            <sz val="8"/>
            <color indexed="81"/>
            <rFont val="Tahoma"/>
            <family val="2"/>
          </rPr>
          <t xml:space="preserve">
</t>
        </r>
      </text>
    </comment>
    <comment ref="R21" authorId="2" shapeId="0" xr:uid="{00000000-0006-0000-0500-000022000000}">
      <text>
        <r>
          <rPr>
            <b/>
            <sz val="8"/>
            <color indexed="81"/>
            <rFont val="Tahoma"/>
            <family val="2"/>
          </rPr>
          <t>From ALISE:
Part II, Table II-3, Total all other programs</t>
        </r>
        <r>
          <rPr>
            <sz val="8"/>
            <color indexed="81"/>
            <rFont val="Tahoma"/>
            <family val="2"/>
          </rPr>
          <t xml:space="preserve">
</t>
        </r>
      </text>
    </comment>
    <comment ref="S21" authorId="2" shapeId="0" xr:uid="{00000000-0006-0000-0500-000023000000}">
      <text>
        <r>
          <rPr>
            <b/>
            <sz val="8"/>
            <color indexed="81"/>
            <rFont val="Tahoma"/>
            <family val="2"/>
          </rPr>
          <t>From ALISE:
Part IV, Line 59</t>
        </r>
        <r>
          <rPr>
            <sz val="8"/>
            <color indexed="81"/>
            <rFont val="Tahoma"/>
            <family val="2"/>
          </rPr>
          <t xml:space="preserve">
</t>
        </r>
      </text>
    </comment>
    <comment ref="U21" authorId="2" shapeId="0" xr:uid="{00000000-0006-0000-0500-000024000000}">
      <text>
        <r>
          <rPr>
            <b/>
            <sz val="8"/>
            <color indexed="81"/>
            <rFont val="Tahoma"/>
            <family val="2"/>
          </rPr>
          <t>From ALISE:
Part IV, Line 60</t>
        </r>
        <r>
          <rPr>
            <sz val="8"/>
            <color indexed="81"/>
            <rFont val="Tahoma"/>
            <family val="2"/>
          </rPr>
          <t xml:space="preserve">
</t>
        </r>
      </text>
    </comment>
    <comment ref="V21" authorId="2" shapeId="0" xr:uid="{00000000-0006-0000-0500-000025000000}">
      <text>
        <r>
          <rPr>
            <b/>
            <sz val="8"/>
            <color indexed="81"/>
            <rFont val="Tahoma"/>
            <family val="2"/>
          </rPr>
          <t>From ALISE:
Part IV, Total lines 61, 62, 63, 64, and 68</t>
        </r>
        <r>
          <rPr>
            <sz val="8"/>
            <color indexed="81"/>
            <rFont val="Tahoma"/>
            <family val="2"/>
          </rPr>
          <t xml:space="preserve">
</t>
        </r>
      </text>
    </comment>
    <comment ref="N22" authorId="2" shapeId="0" xr:uid="{00000000-0006-0000-0500-000026000000}">
      <text>
        <r>
          <rPr>
            <b/>
            <sz val="8"/>
            <color indexed="81"/>
            <rFont val="Tahoma"/>
            <family val="2"/>
          </rPr>
          <t xml:space="preserve">From ALISE:
Part II, Table 11-4, Total AI, AP, B, and H,
ALA only  </t>
        </r>
        <r>
          <rPr>
            <sz val="8"/>
            <color indexed="81"/>
            <rFont val="Tahoma"/>
            <family val="2"/>
          </rPr>
          <t xml:space="preserve">
</t>
        </r>
      </text>
    </comment>
    <comment ref="B23" authorId="2" shapeId="0" xr:uid="{00000000-0006-0000-0500-000027000000}">
      <text>
        <r>
          <rPr>
            <b/>
            <sz val="8"/>
            <color indexed="81"/>
            <rFont val="Tahoma"/>
            <family val="2"/>
          </rPr>
          <t>From ALISE:
Part I, Item 2, Fall</t>
        </r>
        <r>
          <rPr>
            <sz val="8"/>
            <color indexed="81"/>
            <rFont val="Tahoma"/>
            <family val="2"/>
          </rPr>
          <t xml:space="preserve">
</t>
        </r>
      </text>
    </comment>
    <comment ref="C23" authorId="2" shapeId="0" xr:uid="{00000000-0006-0000-0500-000028000000}">
      <text>
        <r>
          <rPr>
            <b/>
            <sz val="8"/>
            <color indexed="81"/>
            <rFont val="Tahoma"/>
            <family val="2"/>
          </rPr>
          <t>From ALISE:
Part I, Item 3, Fall</t>
        </r>
        <r>
          <rPr>
            <sz val="8"/>
            <color indexed="81"/>
            <rFont val="Tahoma"/>
            <family val="2"/>
          </rPr>
          <t xml:space="preserve">
</t>
        </r>
      </text>
    </comment>
    <comment ref="I23" authorId="2" shapeId="0" xr:uid="{00000000-0006-0000-0500-000029000000}">
      <text>
        <r>
          <rPr>
            <b/>
            <sz val="8"/>
            <color indexed="81"/>
            <rFont val="Tahoma"/>
            <family val="2"/>
          </rPr>
          <t>From ALISE:
Part II, Table II-1,
Total  Full-time,
ALA only</t>
        </r>
        <r>
          <rPr>
            <sz val="8"/>
            <color indexed="81"/>
            <rFont val="Tahoma"/>
            <family val="2"/>
          </rPr>
          <t xml:space="preserve">
</t>
        </r>
      </text>
    </comment>
    <comment ref="J23" authorId="2" shapeId="0" xr:uid="{00000000-0006-0000-0500-00002A000000}">
      <text>
        <r>
          <rPr>
            <b/>
            <sz val="8"/>
            <color indexed="81"/>
            <rFont val="Tahoma"/>
            <family val="2"/>
          </rPr>
          <t>From ALISE:
Part II, Table II-1,
Total No. Part-time,
ALA only</t>
        </r>
        <r>
          <rPr>
            <sz val="8"/>
            <color indexed="81"/>
            <rFont val="Tahoma"/>
            <family val="2"/>
          </rPr>
          <t xml:space="preserve">
</t>
        </r>
      </text>
    </comment>
    <comment ref="L23" authorId="2" shapeId="0" xr:uid="{00000000-0006-0000-0500-00002B000000}">
      <text>
        <r>
          <rPr>
            <b/>
            <sz val="8"/>
            <color indexed="81"/>
            <rFont val="Tahoma"/>
            <family val="2"/>
          </rPr>
          <t xml:space="preserve">From ALISE:
Part II, Table II-1,
Total Part-Time FTE, ALA only
</t>
        </r>
        <r>
          <rPr>
            <sz val="8"/>
            <color indexed="81"/>
            <rFont val="Tahoma"/>
            <family val="2"/>
          </rPr>
          <t xml:space="preserve">
</t>
        </r>
      </text>
    </comment>
    <comment ref="N23" authorId="2" shapeId="0" xr:uid="{00000000-0006-0000-0500-00002C000000}">
      <text>
        <r>
          <rPr>
            <b/>
            <sz val="8"/>
            <color indexed="81"/>
            <rFont val="Tahoma"/>
            <family val="2"/>
          </rPr>
          <t xml:space="preserve">From ALISE:
Part II, Table 11-4, Total AI, AP, B, and H,
ALA only  </t>
        </r>
        <r>
          <rPr>
            <sz val="8"/>
            <color indexed="81"/>
            <rFont val="Tahoma"/>
            <family val="2"/>
          </rPr>
          <t xml:space="preserve">
</t>
        </r>
      </text>
    </comment>
    <comment ref="O23" authorId="2" shapeId="0" xr:uid="{00000000-0006-0000-0500-00002D000000}">
      <text>
        <r>
          <rPr>
            <b/>
            <sz val="8"/>
            <color indexed="81"/>
            <rFont val="Tahoma"/>
            <family val="2"/>
          </rPr>
          <t>From ALISE:
Part II, Table II-1, Total FTE, all programs</t>
        </r>
        <r>
          <rPr>
            <sz val="8"/>
            <color indexed="81"/>
            <rFont val="Tahoma"/>
            <family val="2"/>
          </rPr>
          <t xml:space="preserve">
</t>
        </r>
      </text>
    </comment>
    <comment ref="Q23" authorId="2" shapeId="0" xr:uid="{00000000-0006-0000-0500-00002E000000}">
      <text>
        <r>
          <rPr>
            <b/>
            <sz val="8"/>
            <color indexed="81"/>
            <rFont val="Tahoma"/>
            <family val="2"/>
          </rPr>
          <t>From ALISE:
Part II, Table II-3, Total, ALA only</t>
        </r>
        <r>
          <rPr>
            <sz val="8"/>
            <color indexed="81"/>
            <rFont val="Tahoma"/>
            <family val="2"/>
          </rPr>
          <t xml:space="preserve">
</t>
        </r>
      </text>
    </comment>
    <comment ref="R23" authorId="2" shapeId="0" xr:uid="{00000000-0006-0000-0500-00002F000000}">
      <text>
        <r>
          <rPr>
            <b/>
            <sz val="8"/>
            <color indexed="81"/>
            <rFont val="Tahoma"/>
            <family val="2"/>
          </rPr>
          <t>From ALISE:
Part II, Table II-3, Total all other programs</t>
        </r>
        <r>
          <rPr>
            <sz val="8"/>
            <color indexed="81"/>
            <rFont val="Tahoma"/>
            <family val="2"/>
          </rPr>
          <t xml:space="preserve">
</t>
        </r>
      </text>
    </comment>
    <comment ref="S23" authorId="2" shapeId="0" xr:uid="{00000000-0006-0000-0500-000030000000}">
      <text>
        <r>
          <rPr>
            <b/>
            <sz val="8"/>
            <color indexed="81"/>
            <rFont val="Tahoma"/>
            <family val="2"/>
          </rPr>
          <t>From ALISE:
Part IV, Line 59</t>
        </r>
        <r>
          <rPr>
            <sz val="8"/>
            <color indexed="81"/>
            <rFont val="Tahoma"/>
            <family val="2"/>
          </rPr>
          <t xml:space="preserve">
</t>
        </r>
      </text>
    </comment>
    <comment ref="U23" authorId="2" shapeId="0" xr:uid="{00000000-0006-0000-0500-000031000000}">
      <text>
        <r>
          <rPr>
            <b/>
            <sz val="8"/>
            <color indexed="81"/>
            <rFont val="Tahoma"/>
            <family val="2"/>
          </rPr>
          <t>From ALISE:
Part IV, Line 60</t>
        </r>
        <r>
          <rPr>
            <sz val="8"/>
            <color indexed="81"/>
            <rFont val="Tahoma"/>
            <family val="2"/>
          </rPr>
          <t xml:space="preserve">
</t>
        </r>
      </text>
    </comment>
    <comment ref="V23" authorId="2" shapeId="0" xr:uid="{00000000-0006-0000-0500-000032000000}">
      <text>
        <r>
          <rPr>
            <b/>
            <sz val="8"/>
            <color indexed="81"/>
            <rFont val="Tahoma"/>
            <family val="2"/>
          </rPr>
          <t>From ALISE:
Part IV, Total lines 61, 62, 63, 64, and 68</t>
        </r>
        <r>
          <rPr>
            <sz val="8"/>
            <color indexed="81"/>
            <rFont val="Tahoma"/>
            <family val="2"/>
          </rPr>
          <t xml:space="preserve">
</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3" authorId="0" shapeId="0" xr:uid="{00000000-0006-0000-3F00-000001000000}">
      <text>
        <r>
          <rPr>
            <b/>
            <sz val="8"/>
            <color indexed="81"/>
            <rFont val="Tahoma"/>
            <family val="2"/>
          </rPr>
          <t>From ALISE:
Part I, Item 2, Fall</t>
        </r>
        <r>
          <rPr>
            <sz val="8"/>
            <color indexed="81"/>
            <rFont val="Tahoma"/>
            <family val="2"/>
          </rPr>
          <t xml:space="preserve">
</t>
        </r>
      </text>
    </comment>
    <comment ref="C23" authorId="0" shapeId="0" xr:uid="{00000000-0006-0000-3F00-000002000000}">
      <text>
        <r>
          <rPr>
            <b/>
            <sz val="8"/>
            <color indexed="81"/>
            <rFont val="Tahoma"/>
            <family val="2"/>
          </rPr>
          <t>From ALISE:
Part I, Item 3, Fall</t>
        </r>
        <r>
          <rPr>
            <sz val="8"/>
            <color indexed="81"/>
            <rFont val="Tahoma"/>
            <family val="2"/>
          </rPr>
          <t xml:space="preserve">
</t>
        </r>
      </text>
    </comment>
    <comment ref="I23" authorId="0" shapeId="0" xr:uid="{00000000-0006-0000-3F00-000003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3F00-000004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3F00-000005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3F00-000006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3F00-000007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3F00-000008000000}">
      <text>
        <r>
          <rPr>
            <b/>
            <sz val="8"/>
            <color indexed="81"/>
            <rFont val="Tahoma"/>
            <family val="2"/>
          </rPr>
          <t>From ALISE:
Part II, Table II-3, Total, ALA only</t>
        </r>
        <r>
          <rPr>
            <sz val="8"/>
            <color indexed="81"/>
            <rFont val="Tahoma"/>
            <family val="2"/>
          </rPr>
          <t xml:space="preserve">
</t>
        </r>
      </text>
    </comment>
    <comment ref="R23" authorId="0" shapeId="0" xr:uid="{00000000-0006-0000-3F00-000009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3F00-00000A000000}">
      <text>
        <r>
          <rPr>
            <b/>
            <sz val="8"/>
            <color indexed="81"/>
            <rFont val="Tahoma"/>
            <family val="2"/>
          </rPr>
          <t>From ALISE:
Part IV, Line 59</t>
        </r>
        <r>
          <rPr>
            <sz val="8"/>
            <color indexed="81"/>
            <rFont val="Tahoma"/>
            <family val="2"/>
          </rPr>
          <t xml:space="preserve">
</t>
        </r>
      </text>
    </comment>
    <comment ref="U23" authorId="0" shapeId="0" xr:uid="{00000000-0006-0000-3F00-00000B000000}">
      <text>
        <r>
          <rPr>
            <b/>
            <sz val="8"/>
            <color indexed="81"/>
            <rFont val="Tahoma"/>
            <family val="2"/>
          </rPr>
          <t>From ALISE:
Part IV, Line 60</t>
        </r>
        <r>
          <rPr>
            <sz val="8"/>
            <color indexed="81"/>
            <rFont val="Tahoma"/>
            <family val="2"/>
          </rPr>
          <t xml:space="preserve">
</t>
        </r>
      </text>
    </comment>
    <comment ref="V23" authorId="0" shapeId="0" xr:uid="{00000000-0006-0000-3F00-00000C000000}">
      <text>
        <r>
          <rPr>
            <b/>
            <sz val="8"/>
            <color indexed="81"/>
            <rFont val="Tahoma"/>
            <family val="2"/>
          </rPr>
          <t>From ALISE:
Part IV, Total lines 61, 62, 63, 64, and 68</t>
        </r>
        <r>
          <rPr>
            <sz val="8"/>
            <color indexed="81"/>
            <rFont val="Tahoma"/>
            <family val="2"/>
          </rPr>
          <t xml:space="preserve">
</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3" authorId="0" shapeId="0" xr:uid="{00000000-0006-0000-4000-000001000000}">
      <text>
        <r>
          <rPr>
            <b/>
            <sz val="8"/>
            <color indexed="81"/>
            <rFont val="Tahoma"/>
            <family val="2"/>
          </rPr>
          <t>From ALISE:
Part I, Item 2, Fall</t>
        </r>
        <r>
          <rPr>
            <sz val="8"/>
            <color indexed="81"/>
            <rFont val="Tahoma"/>
            <family val="2"/>
          </rPr>
          <t xml:space="preserve">
</t>
        </r>
      </text>
    </comment>
    <comment ref="C23" authorId="0" shapeId="0" xr:uid="{00000000-0006-0000-4000-000002000000}">
      <text>
        <r>
          <rPr>
            <b/>
            <sz val="8"/>
            <color indexed="81"/>
            <rFont val="Tahoma"/>
            <family val="2"/>
          </rPr>
          <t>From ALISE:
Part I, Item 3, Fall</t>
        </r>
        <r>
          <rPr>
            <sz val="8"/>
            <color indexed="81"/>
            <rFont val="Tahoma"/>
            <family val="2"/>
          </rPr>
          <t xml:space="preserve">
</t>
        </r>
      </text>
    </comment>
    <comment ref="I23" authorId="0" shapeId="0" xr:uid="{00000000-0006-0000-4000-000003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4000-000004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4000-000005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4000-000006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4000-000007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4000-000008000000}">
      <text>
        <r>
          <rPr>
            <b/>
            <sz val="8"/>
            <color indexed="81"/>
            <rFont val="Tahoma"/>
            <family val="2"/>
          </rPr>
          <t>From ALISE:
Part II, Table II-3, Total, ALA only</t>
        </r>
        <r>
          <rPr>
            <sz val="8"/>
            <color indexed="81"/>
            <rFont val="Tahoma"/>
            <family val="2"/>
          </rPr>
          <t xml:space="preserve">
</t>
        </r>
      </text>
    </comment>
    <comment ref="R23" authorId="0" shapeId="0" xr:uid="{00000000-0006-0000-4000-000009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4000-00000A000000}">
      <text>
        <r>
          <rPr>
            <b/>
            <sz val="8"/>
            <color indexed="81"/>
            <rFont val="Tahoma"/>
            <family val="2"/>
          </rPr>
          <t>From ALISE:
Part IV, Line 59</t>
        </r>
        <r>
          <rPr>
            <sz val="8"/>
            <color indexed="81"/>
            <rFont val="Tahoma"/>
            <family val="2"/>
          </rPr>
          <t xml:space="preserve">
</t>
        </r>
      </text>
    </comment>
    <comment ref="U23" authorId="0" shapeId="0" xr:uid="{00000000-0006-0000-4000-00000B000000}">
      <text>
        <r>
          <rPr>
            <b/>
            <sz val="8"/>
            <color indexed="81"/>
            <rFont val="Tahoma"/>
            <family val="2"/>
          </rPr>
          <t>From ALISE:
Part IV, Line 60</t>
        </r>
        <r>
          <rPr>
            <sz val="8"/>
            <color indexed="81"/>
            <rFont val="Tahoma"/>
            <family val="2"/>
          </rPr>
          <t xml:space="preserve">
</t>
        </r>
      </text>
    </comment>
    <comment ref="V23" authorId="0" shapeId="0" xr:uid="{00000000-0006-0000-4000-00000C000000}">
      <text>
        <r>
          <rPr>
            <b/>
            <sz val="8"/>
            <color indexed="81"/>
            <rFont val="Tahoma"/>
            <family val="2"/>
          </rPr>
          <t>From ALISE:
Part IV, Total lines 61, 62, 63, 64, and 68</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rmckinney</author>
    <author>Karen O'Brien</author>
  </authors>
  <commentList>
    <comment ref="R18" authorId="0" shapeId="0" xr:uid="{00000000-0006-0000-0600-000001000000}">
      <text>
        <r>
          <rPr>
            <b/>
            <sz val="8"/>
            <color indexed="81"/>
            <rFont val="Tahoma"/>
            <family val="2"/>
          </rPr>
          <t>rmckinney:</t>
        </r>
        <r>
          <rPr>
            <sz val="8"/>
            <color indexed="81"/>
            <rFont val="Tahoma"/>
            <family val="2"/>
          </rPr>
          <t xml:space="preserve">
43 Post BA and 300 BA</t>
        </r>
      </text>
    </comment>
    <comment ref="R19" authorId="0" shapeId="0" xr:uid="{00000000-0006-0000-0600-000002000000}">
      <text>
        <r>
          <rPr>
            <b/>
            <sz val="8"/>
            <color indexed="81"/>
            <rFont val="Tahoma"/>
            <family val="2"/>
          </rPr>
          <t>rmckinney:</t>
        </r>
        <r>
          <rPr>
            <sz val="8"/>
            <color indexed="81"/>
            <rFont val="Tahoma"/>
            <family val="2"/>
          </rPr>
          <t xml:space="preserve">
43 Post BA and 300 BA</t>
        </r>
      </text>
    </comment>
    <comment ref="B23" authorId="1" shapeId="0" xr:uid="{00000000-0006-0000-0600-000003000000}">
      <text>
        <r>
          <rPr>
            <b/>
            <sz val="8"/>
            <color indexed="81"/>
            <rFont val="Tahoma"/>
            <family val="2"/>
          </rPr>
          <t>From ALISE:
Part I, Item 2, Fall</t>
        </r>
        <r>
          <rPr>
            <sz val="8"/>
            <color indexed="81"/>
            <rFont val="Tahoma"/>
            <family val="2"/>
          </rPr>
          <t xml:space="preserve">
</t>
        </r>
      </text>
    </comment>
    <comment ref="C23" authorId="1" shapeId="0" xr:uid="{00000000-0006-0000-0600-000004000000}">
      <text>
        <r>
          <rPr>
            <b/>
            <sz val="8"/>
            <color indexed="81"/>
            <rFont val="Tahoma"/>
            <family val="2"/>
          </rPr>
          <t>From ALISE:
Part I, Item 3, Fall</t>
        </r>
        <r>
          <rPr>
            <sz val="8"/>
            <color indexed="81"/>
            <rFont val="Tahoma"/>
            <family val="2"/>
          </rPr>
          <t xml:space="preserve">
</t>
        </r>
      </text>
    </comment>
    <comment ref="I23" authorId="1" shapeId="0" xr:uid="{00000000-0006-0000-0600-000005000000}">
      <text>
        <r>
          <rPr>
            <b/>
            <sz val="8"/>
            <color indexed="81"/>
            <rFont val="Tahoma"/>
            <family val="2"/>
          </rPr>
          <t>From ALISE:
Part II, Table II-1,
Total  Full-time,
ALA only</t>
        </r>
        <r>
          <rPr>
            <sz val="8"/>
            <color indexed="81"/>
            <rFont val="Tahoma"/>
            <family val="2"/>
          </rPr>
          <t xml:space="preserve">
</t>
        </r>
      </text>
    </comment>
    <comment ref="J23" authorId="1" shapeId="0" xr:uid="{00000000-0006-0000-0600-000006000000}">
      <text>
        <r>
          <rPr>
            <b/>
            <sz val="8"/>
            <color indexed="81"/>
            <rFont val="Tahoma"/>
            <family val="2"/>
          </rPr>
          <t>From ALISE:
Part II, Table II-1,
Total No. Part-time,
ALA only</t>
        </r>
        <r>
          <rPr>
            <sz val="8"/>
            <color indexed="81"/>
            <rFont val="Tahoma"/>
            <family val="2"/>
          </rPr>
          <t xml:space="preserve">
</t>
        </r>
      </text>
    </comment>
    <comment ref="L23" authorId="1" shapeId="0" xr:uid="{00000000-0006-0000-0600-000007000000}">
      <text>
        <r>
          <rPr>
            <b/>
            <sz val="8"/>
            <color indexed="81"/>
            <rFont val="Tahoma"/>
            <family val="2"/>
          </rPr>
          <t xml:space="preserve">From ALISE:
Part II, Table II-1,
Total Part-Time FTE, ALA only
</t>
        </r>
        <r>
          <rPr>
            <sz val="8"/>
            <color indexed="81"/>
            <rFont val="Tahoma"/>
            <family val="2"/>
          </rPr>
          <t xml:space="preserve">
</t>
        </r>
      </text>
    </comment>
    <comment ref="N23" authorId="1" shapeId="0" xr:uid="{00000000-0006-0000-0600-000008000000}">
      <text>
        <r>
          <rPr>
            <b/>
            <sz val="8"/>
            <color indexed="81"/>
            <rFont val="Tahoma"/>
            <family val="2"/>
          </rPr>
          <t xml:space="preserve">From ALISE:
Part II, Table 11-4, Total AI, AP, B, and H,
ALA only  </t>
        </r>
        <r>
          <rPr>
            <sz val="8"/>
            <color indexed="81"/>
            <rFont val="Tahoma"/>
            <family val="2"/>
          </rPr>
          <t xml:space="preserve">
</t>
        </r>
      </text>
    </comment>
    <comment ref="O23" authorId="1" shapeId="0" xr:uid="{00000000-0006-0000-0600-000009000000}">
      <text>
        <r>
          <rPr>
            <b/>
            <sz val="8"/>
            <color indexed="81"/>
            <rFont val="Tahoma"/>
            <family val="2"/>
          </rPr>
          <t>From ALISE:
Part II, Table II-1, Total FTE, all programs</t>
        </r>
        <r>
          <rPr>
            <sz val="8"/>
            <color indexed="81"/>
            <rFont val="Tahoma"/>
            <family val="2"/>
          </rPr>
          <t xml:space="preserve">
</t>
        </r>
      </text>
    </comment>
    <comment ref="Q23" authorId="1" shapeId="0" xr:uid="{00000000-0006-0000-0600-00000A000000}">
      <text>
        <r>
          <rPr>
            <b/>
            <sz val="8"/>
            <color indexed="81"/>
            <rFont val="Tahoma"/>
            <family val="2"/>
          </rPr>
          <t>From ALISE:
Part II, Table II-3, Total, ALA only</t>
        </r>
        <r>
          <rPr>
            <sz val="8"/>
            <color indexed="81"/>
            <rFont val="Tahoma"/>
            <family val="2"/>
          </rPr>
          <t xml:space="preserve">
</t>
        </r>
      </text>
    </comment>
    <comment ref="R23" authorId="1" shapeId="0" xr:uid="{00000000-0006-0000-0600-00000B000000}">
      <text>
        <r>
          <rPr>
            <b/>
            <sz val="8"/>
            <color indexed="81"/>
            <rFont val="Tahoma"/>
            <family val="2"/>
          </rPr>
          <t>From ALISE:
Part II, Table II-3, Total all other programs</t>
        </r>
        <r>
          <rPr>
            <sz val="8"/>
            <color indexed="81"/>
            <rFont val="Tahoma"/>
            <family val="2"/>
          </rPr>
          <t xml:space="preserve">
</t>
        </r>
      </text>
    </comment>
    <comment ref="S23" authorId="1" shapeId="0" xr:uid="{00000000-0006-0000-0600-00000C000000}">
      <text>
        <r>
          <rPr>
            <b/>
            <sz val="8"/>
            <color indexed="81"/>
            <rFont val="Tahoma"/>
            <family val="2"/>
          </rPr>
          <t>From ALISE:
Part IV, Line 59</t>
        </r>
        <r>
          <rPr>
            <sz val="8"/>
            <color indexed="81"/>
            <rFont val="Tahoma"/>
            <family val="2"/>
          </rPr>
          <t xml:space="preserve">
</t>
        </r>
      </text>
    </comment>
    <comment ref="U23" authorId="1" shapeId="0" xr:uid="{00000000-0006-0000-0600-00000D000000}">
      <text>
        <r>
          <rPr>
            <b/>
            <sz val="8"/>
            <color indexed="81"/>
            <rFont val="Tahoma"/>
            <family val="2"/>
          </rPr>
          <t>From ALISE:
Part IV, Line 60</t>
        </r>
        <r>
          <rPr>
            <sz val="8"/>
            <color indexed="81"/>
            <rFont val="Tahoma"/>
            <family val="2"/>
          </rPr>
          <t xml:space="preserve">
</t>
        </r>
      </text>
    </comment>
    <comment ref="V23" authorId="1" shapeId="0" xr:uid="{00000000-0006-0000-0600-00000E000000}">
      <text>
        <r>
          <rPr>
            <b/>
            <sz val="8"/>
            <color indexed="81"/>
            <rFont val="Tahoma"/>
            <family val="2"/>
          </rPr>
          <t>From ALISE:
Part IV, Total lines 61, 62, 63, 64, and 68</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0800-000001000000}">
      <text>
        <r>
          <rPr>
            <b/>
            <sz val="8"/>
            <color indexed="81"/>
            <rFont val="Tahoma"/>
            <family val="2"/>
          </rPr>
          <t>From ALISE:
Part I, Item 2, Fall</t>
        </r>
        <r>
          <rPr>
            <sz val="8"/>
            <color indexed="81"/>
            <rFont val="Tahoma"/>
            <family val="2"/>
          </rPr>
          <t xml:space="preserve">
</t>
        </r>
      </text>
    </comment>
    <comment ref="C21" authorId="0" shapeId="0" xr:uid="{00000000-0006-0000-0800-000002000000}">
      <text>
        <r>
          <rPr>
            <b/>
            <sz val="8"/>
            <color indexed="81"/>
            <rFont val="Tahoma"/>
            <family val="2"/>
          </rPr>
          <t>From ALISE:
Part I, Item 3, Fall</t>
        </r>
        <r>
          <rPr>
            <sz val="8"/>
            <color indexed="81"/>
            <rFont val="Tahoma"/>
            <family val="2"/>
          </rPr>
          <t xml:space="preserve">
</t>
        </r>
      </text>
    </comment>
    <comment ref="I21" authorId="0" shapeId="0" xr:uid="{00000000-0006-0000-08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08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08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08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08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08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08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0800-00000A000000}">
      <text>
        <r>
          <rPr>
            <b/>
            <sz val="8"/>
            <color indexed="81"/>
            <rFont val="Tahoma"/>
            <family val="2"/>
          </rPr>
          <t>From ALISE:
Part IV, Line 59</t>
        </r>
        <r>
          <rPr>
            <sz val="8"/>
            <color indexed="81"/>
            <rFont val="Tahoma"/>
            <family val="2"/>
          </rPr>
          <t xml:space="preserve">
</t>
        </r>
      </text>
    </comment>
    <comment ref="U21" authorId="0" shapeId="0" xr:uid="{00000000-0006-0000-0800-00000B000000}">
      <text>
        <r>
          <rPr>
            <b/>
            <sz val="8"/>
            <color indexed="81"/>
            <rFont val="Tahoma"/>
            <family val="2"/>
          </rPr>
          <t>From ALISE:
Part IV, Line 60</t>
        </r>
        <r>
          <rPr>
            <sz val="8"/>
            <color indexed="81"/>
            <rFont val="Tahoma"/>
            <family val="2"/>
          </rPr>
          <t xml:space="preserve">
</t>
        </r>
      </text>
    </comment>
    <comment ref="V21" authorId="0" shapeId="0" xr:uid="{00000000-0006-0000-0800-00000C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0800-00000D000000}">
      <text>
        <r>
          <rPr>
            <b/>
            <sz val="8"/>
            <color indexed="81"/>
            <rFont val="Tahoma"/>
            <family val="2"/>
          </rPr>
          <t>From ALISE:
Part I, Item 2, Fall</t>
        </r>
        <r>
          <rPr>
            <sz val="8"/>
            <color indexed="81"/>
            <rFont val="Tahoma"/>
            <family val="2"/>
          </rPr>
          <t xml:space="preserve">
</t>
        </r>
      </text>
    </comment>
    <comment ref="C23" authorId="0" shapeId="0" xr:uid="{00000000-0006-0000-0800-00000E000000}">
      <text>
        <r>
          <rPr>
            <b/>
            <sz val="8"/>
            <color indexed="81"/>
            <rFont val="Tahoma"/>
            <family val="2"/>
          </rPr>
          <t>From ALISE:
Part I, Item 3, Fall</t>
        </r>
        <r>
          <rPr>
            <sz val="8"/>
            <color indexed="81"/>
            <rFont val="Tahoma"/>
            <family val="2"/>
          </rPr>
          <t xml:space="preserve">
</t>
        </r>
      </text>
    </comment>
    <comment ref="I23" authorId="0" shapeId="0" xr:uid="{00000000-0006-0000-0800-00000F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0800-000010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0800-000011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0800-000012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0800-000013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0800-000014000000}">
      <text>
        <r>
          <rPr>
            <b/>
            <sz val="8"/>
            <color indexed="81"/>
            <rFont val="Tahoma"/>
            <family val="2"/>
          </rPr>
          <t>From ALISE:
Part II, Table II-3, Total, ALA only</t>
        </r>
        <r>
          <rPr>
            <sz val="8"/>
            <color indexed="81"/>
            <rFont val="Tahoma"/>
            <family val="2"/>
          </rPr>
          <t xml:space="preserve">
</t>
        </r>
      </text>
    </comment>
    <comment ref="R23" authorId="0" shapeId="0" xr:uid="{00000000-0006-0000-0800-000015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0800-000016000000}">
      <text>
        <r>
          <rPr>
            <b/>
            <sz val="8"/>
            <color indexed="81"/>
            <rFont val="Tahoma"/>
            <family val="2"/>
          </rPr>
          <t>From ALISE:
Part IV, Line 59</t>
        </r>
        <r>
          <rPr>
            <sz val="8"/>
            <color indexed="81"/>
            <rFont val="Tahoma"/>
            <family val="2"/>
          </rPr>
          <t xml:space="preserve">
</t>
        </r>
      </text>
    </comment>
    <comment ref="U23" authorId="0" shapeId="0" xr:uid="{00000000-0006-0000-0800-000017000000}">
      <text>
        <r>
          <rPr>
            <b/>
            <sz val="8"/>
            <color indexed="81"/>
            <rFont val="Tahoma"/>
            <family val="2"/>
          </rPr>
          <t>From ALISE:
Part IV, Line 60</t>
        </r>
        <r>
          <rPr>
            <sz val="8"/>
            <color indexed="81"/>
            <rFont val="Tahoma"/>
            <family val="2"/>
          </rPr>
          <t xml:space="preserve">
</t>
        </r>
      </text>
    </comment>
    <comment ref="V23" authorId="0" shapeId="0" xr:uid="{00000000-0006-0000-0800-000018000000}">
      <text>
        <r>
          <rPr>
            <b/>
            <sz val="8"/>
            <color indexed="81"/>
            <rFont val="Tahoma"/>
            <family val="2"/>
          </rPr>
          <t>From ALISE:
Part IV, Total lines 61, 62, 63, 64, and 68</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0A00-000001000000}">
      <text>
        <r>
          <rPr>
            <b/>
            <sz val="8"/>
            <color indexed="81"/>
            <rFont val="Tahoma"/>
            <family val="2"/>
          </rPr>
          <t>From ALISE:
Part I, Item 2, Fall</t>
        </r>
        <r>
          <rPr>
            <sz val="8"/>
            <color indexed="81"/>
            <rFont val="Tahoma"/>
            <family val="2"/>
          </rPr>
          <t xml:space="preserve">
</t>
        </r>
      </text>
    </comment>
    <comment ref="C21" authorId="0" shapeId="0" xr:uid="{00000000-0006-0000-0A00-000002000000}">
      <text>
        <r>
          <rPr>
            <b/>
            <sz val="8"/>
            <color indexed="81"/>
            <rFont val="Tahoma"/>
            <family val="2"/>
          </rPr>
          <t>From ALISE:
Part I, Item 3, Fall</t>
        </r>
        <r>
          <rPr>
            <sz val="8"/>
            <color indexed="81"/>
            <rFont val="Tahoma"/>
            <family val="2"/>
          </rPr>
          <t xml:space="preserve">
</t>
        </r>
      </text>
    </comment>
    <comment ref="I21" authorId="0" shapeId="0" xr:uid="{00000000-0006-0000-0A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0A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0A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0A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0A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0A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0A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0A00-00000A000000}">
      <text>
        <r>
          <rPr>
            <b/>
            <sz val="8"/>
            <color indexed="81"/>
            <rFont val="Tahoma"/>
            <family val="2"/>
          </rPr>
          <t>From ALISE:
Part IV, Line 59</t>
        </r>
        <r>
          <rPr>
            <sz val="8"/>
            <color indexed="81"/>
            <rFont val="Tahoma"/>
            <family val="2"/>
          </rPr>
          <t xml:space="preserve">
</t>
        </r>
      </text>
    </comment>
    <comment ref="U21" authorId="0" shapeId="0" xr:uid="{00000000-0006-0000-0A00-00000B000000}">
      <text>
        <r>
          <rPr>
            <b/>
            <sz val="8"/>
            <color indexed="81"/>
            <rFont val="Tahoma"/>
            <family val="2"/>
          </rPr>
          <t>From ALISE:
Part IV, Line 60</t>
        </r>
        <r>
          <rPr>
            <sz val="8"/>
            <color indexed="81"/>
            <rFont val="Tahoma"/>
            <family val="2"/>
          </rPr>
          <t xml:space="preserve">
</t>
        </r>
      </text>
    </comment>
    <comment ref="V21" authorId="0" shapeId="0" xr:uid="{00000000-0006-0000-0A00-00000C000000}">
      <text>
        <r>
          <rPr>
            <b/>
            <sz val="8"/>
            <color indexed="81"/>
            <rFont val="Tahoma"/>
            <family val="2"/>
          </rPr>
          <t>From ALISE:
Part IV, Total lines 61, 62, 63, 64, and 68</t>
        </r>
        <r>
          <rPr>
            <sz val="8"/>
            <color indexed="81"/>
            <rFont val="Tahoma"/>
            <family val="2"/>
          </rPr>
          <t xml:space="preserve">
</t>
        </r>
      </text>
    </comment>
    <comment ref="B22" authorId="0" shapeId="0" xr:uid="{00000000-0006-0000-0A00-00000D000000}">
      <text>
        <r>
          <rPr>
            <b/>
            <sz val="8"/>
            <color indexed="81"/>
            <rFont val="Tahoma"/>
            <family val="2"/>
          </rPr>
          <t>From ALISE:
Part I, Item 2, Fall</t>
        </r>
        <r>
          <rPr>
            <sz val="8"/>
            <color indexed="81"/>
            <rFont val="Tahoma"/>
            <family val="2"/>
          </rPr>
          <t xml:space="preserve">
</t>
        </r>
      </text>
    </comment>
    <comment ref="C22" authorId="0" shapeId="0" xr:uid="{00000000-0006-0000-0A00-00000E000000}">
      <text>
        <r>
          <rPr>
            <b/>
            <sz val="8"/>
            <color indexed="81"/>
            <rFont val="Tahoma"/>
            <family val="2"/>
          </rPr>
          <t>From ALISE:
Part I, Item 3, Fall</t>
        </r>
        <r>
          <rPr>
            <sz val="8"/>
            <color indexed="81"/>
            <rFont val="Tahoma"/>
            <family val="2"/>
          </rPr>
          <t xml:space="preserve">
</t>
        </r>
      </text>
    </comment>
    <comment ref="I22" authorId="0" shapeId="0" xr:uid="{00000000-0006-0000-0A00-00000F000000}">
      <text>
        <r>
          <rPr>
            <b/>
            <sz val="8"/>
            <color indexed="81"/>
            <rFont val="Tahoma"/>
            <family val="2"/>
          </rPr>
          <t>From ALISE:
Part II, Table II-1,
Total  Full-time,
ALA only</t>
        </r>
        <r>
          <rPr>
            <sz val="8"/>
            <color indexed="81"/>
            <rFont val="Tahoma"/>
            <family val="2"/>
          </rPr>
          <t xml:space="preserve">
</t>
        </r>
      </text>
    </comment>
    <comment ref="J22" authorId="0" shapeId="0" xr:uid="{00000000-0006-0000-0A00-000010000000}">
      <text>
        <r>
          <rPr>
            <b/>
            <sz val="8"/>
            <color indexed="81"/>
            <rFont val="Tahoma"/>
            <family val="2"/>
          </rPr>
          <t>From ALISE:
Part II, Table II-1,
Total No. Part-time,
ALA only</t>
        </r>
        <r>
          <rPr>
            <sz val="8"/>
            <color indexed="81"/>
            <rFont val="Tahoma"/>
            <family val="2"/>
          </rPr>
          <t xml:space="preserve">
</t>
        </r>
      </text>
    </comment>
    <comment ref="L22" authorId="0" shapeId="0" xr:uid="{00000000-0006-0000-0A00-000011000000}">
      <text>
        <r>
          <rPr>
            <b/>
            <sz val="8"/>
            <color indexed="81"/>
            <rFont val="Tahoma"/>
            <family val="2"/>
          </rPr>
          <t xml:space="preserve">From ALISE:
Part II, Table II-1,
Total Part-Time FTE, ALA only
</t>
        </r>
        <r>
          <rPr>
            <sz val="8"/>
            <color indexed="81"/>
            <rFont val="Tahoma"/>
            <family val="2"/>
          </rPr>
          <t xml:space="preserve">
</t>
        </r>
      </text>
    </comment>
    <comment ref="N22" authorId="0" shapeId="0" xr:uid="{00000000-0006-0000-0A00-000012000000}">
      <text>
        <r>
          <rPr>
            <b/>
            <sz val="8"/>
            <color indexed="81"/>
            <rFont val="Tahoma"/>
            <family val="2"/>
          </rPr>
          <t xml:space="preserve">From ALISE:
Part II, Table 11-4, Total AI, AP, B, and H,
ALA only  </t>
        </r>
        <r>
          <rPr>
            <sz val="8"/>
            <color indexed="81"/>
            <rFont val="Tahoma"/>
            <family val="2"/>
          </rPr>
          <t xml:space="preserve">
</t>
        </r>
      </text>
    </comment>
    <comment ref="O22" authorId="0" shapeId="0" xr:uid="{00000000-0006-0000-0A00-000013000000}">
      <text>
        <r>
          <rPr>
            <b/>
            <sz val="8"/>
            <color indexed="81"/>
            <rFont val="Tahoma"/>
            <family val="2"/>
          </rPr>
          <t>From ALISE:
Part II, Table II-1, Total FTE, all programs</t>
        </r>
        <r>
          <rPr>
            <sz val="8"/>
            <color indexed="81"/>
            <rFont val="Tahoma"/>
            <family val="2"/>
          </rPr>
          <t xml:space="preserve">
</t>
        </r>
      </text>
    </comment>
    <comment ref="Q22" authorId="0" shapeId="0" xr:uid="{00000000-0006-0000-0A00-000014000000}">
      <text>
        <r>
          <rPr>
            <b/>
            <sz val="8"/>
            <color indexed="81"/>
            <rFont val="Tahoma"/>
            <family val="2"/>
          </rPr>
          <t>From ALISE:
Part II, Table II-3, Total, ALA only</t>
        </r>
        <r>
          <rPr>
            <sz val="8"/>
            <color indexed="81"/>
            <rFont val="Tahoma"/>
            <family val="2"/>
          </rPr>
          <t xml:space="preserve">
</t>
        </r>
      </text>
    </comment>
    <comment ref="R22" authorId="0" shapeId="0" xr:uid="{00000000-0006-0000-0A00-000015000000}">
      <text>
        <r>
          <rPr>
            <b/>
            <sz val="8"/>
            <color indexed="81"/>
            <rFont val="Tahoma"/>
            <family val="2"/>
          </rPr>
          <t>From ALISE:
Part II, Table II-3, Total all other programs</t>
        </r>
        <r>
          <rPr>
            <sz val="8"/>
            <color indexed="81"/>
            <rFont val="Tahoma"/>
            <family val="2"/>
          </rPr>
          <t xml:space="preserve">
</t>
        </r>
      </text>
    </comment>
    <comment ref="S22" authorId="0" shapeId="0" xr:uid="{00000000-0006-0000-0A00-000016000000}">
      <text>
        <r>
          <rPr>
            <b/>
            <sz val="8"/>
            <color indexed="81"/>
            <rFont val="Tahoma"/>
            <family val="2"/>
          </rPr>
          <t>From ALISE:
Part IV, Line 59</t>
        </r>
        <r>
          <rPr>
            <sz val="8"/>
            <color indexed="81"/>
            <rFont val="Tahoma"/>
            <family val="2"/>
          </rPr>
          <t xml:space="preserve">
</t>
        </r>
      </text>
    </comment>
    <comment ref="U22" authorId="0" shapeId="0" xr:uid="{00000000-0006-0000-0A00-000017000000}">
      <text>
        <r>
          <rPr>
            <b/>
            <sz val="8"/>
            <color indexed="81"/>
            <rFont val="Tahoma"/>
            <family val="2"/>
          </rPr>
          <t>From ALISE:
Part IV, Line 60</t>
        </r>
        <r>
          <rPr>
            <sz val="8"/>
            <color indexed="81"/>
            <rFont val="Tahoma"/>
            <family val="2"/>
          </rPr>
          <t xml:space="preserve">
</t>
        </r>
      </text>
    </comment>
    <comment ref="V22" authorId="0" shapeId="0" xr:uid="{00000000-0006-0000-0A00-000018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0A00-000019000000}">
      <text>
        <r>
          <rPr>
            <b/>
            <sz val="8"/>
            <color indexed="81"/>
            <rFont val="Tahoma"/>
            <family val="2"/>
          </rPr>
          <t>From ALISE:
Part I, Item 2, Fall</t>
        </r>
        <r>
          <rPr>
            <sz val="8"/>
            <color indexed="81"/>
            <rFont val="Tahoma"/>
            <family val="2"/>
          </rPr>
          <t xml:space="preserve">
</t>
        </r>
      </text>
    </comment>
    <comment ref="C23" authorId="0" shapeId="0" xr:uid="{00000000-0006-0000-0A00-00001A000000}">
      <text>
        <r>
          <rPr>
            <b/>
            <sz val="8"/>
            <color indexed="81"/>
            <rFont val="Tahoma"/>
            <family val="2"/>
          </rPr>
          <t>From ALISE:
Part I, Item 3, Fall</t>
        </r>
        <r>
          <rPr>
            <sz val="8"/>
            <color indexed="81"/>
            <rFont val="Tahoma"/>
            <family val="2"/>
          </rPr>
          <t xml:space="preserve">
</t>
        </r>
      </text>
    </comment>
    <comment ref="I23" authorId="0" shapeId="0" xr:uid="{00000000-0006-0000-0A00-00001B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0A00-00001C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0A00-00001D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0A00-00001E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0A00-00001F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0A00-000020000000}">
      <text>
        <r>
          <rPr>
            <b/>
            <sz val="8"/>
            <color indexed="81"/>
            <rFont val="Tahoma"/>
            <family val="2"/>
          </rPr>
          <t>From ALISE:
Part II, Table II-3, Total, ALA only</t>
        </r>
        <r>
          <rPr>
            <sz val="8"/>
            <color indexed="81"/>
            <rFont val="Tahoma"/>
            <family val="2"/>
          </rPr>
          <t xml:space="preserve">
</t>
        </r>
      </text>
    </comment>
    <comment ref="R23" authorId="0" shapeId="0" xr:uid="{00000000-0006-0000-0A00-000021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0A00-000022000000}">
      <text>
        <r>
          <rPr>
            <b/>
            <sz val="8"/>
            <color indexed="81"/>
            <rFont val="Tahoma"/>
            <family val="2"/>
          </rPr>
          <t>From ALISE:
Part IV, Line 59</t>
        </r>
        <r>
          <rPr>
            <sz val="8"/>
            <color indexed="81"/>
            <rFont val="Tahoma"/>
            <family val="2"/>
          </rPr>
          <t xml:space="preserve">
</t>
        </r>
      </text>
    </comment>
    <comment ref="U23" authorId="0" shapeId="0" xr:uid="{00000000-0006-0000-0A00-000023000000}">
      <text>
        <r>
          <rPr>
            <b/>
            <sz val="8"/>
            <color indexed="81"/>
            <rFont val="Tahoma"/>
            <family val="2"/>
          </rPr>
          <t>From ALISE:
Part IV, Line 60</t>
        </r>
        <r>
          <rPr>
            <sz val="8"/>
            <color indexed="81"/>
            <rFont val="Tahoma"/>
            <family val="2"/>
          </rPr>
          <t xml:space="preserve">
</t>
        </r>
      </text>
    </comment>
    <comment ref="V23" authorId="0" shapeId="0" xr:uid="{00000000-0006-0000-0A00-000024000000}">
      <text>
        <r>
          <rPr>
            <b/>
            <sz val="8"/>
            <color indexed="81"/>
            <rFont val="Tahoma"/>
            <family val="2"/>
          </rPr>
          <t>From ALISE:
Part IV, Total lines 61, 62, 63, 64, and 68</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Karen O'Brien</author>
  </authors>
  <commentList>
    <comment ref="B21" authorId="0" shapeId="0" xr:uid="{00000000-0006-0000-0C00-000001000000}">
      <text>
        <r>
          <rPr>
            <b/>
            <sz val="8"/>
            <color indexed="81"/>
            <rFont val="Tahoma"/>
            <family val="2"/>
          </rPr>
          <t>From ALISE:
Part I, Item 2, Fall</t>
        </r>
        <r>
          <rPr>
            <sz val="8"/>
            <color indexed="81"/>
            <rFont val="Tahoma"/>
            <family val="2"/>
          </rPr>
          <t xml:space="preserve">
</t>
        </r>
      </text>
    </comment>
    <comment ref="C21" authorId="0" shapeId="0" xr:uid="{00000000-0006-0000-0C00-000002000000}">
      <text>
        <r>
          <rPr>
            <b/>
            <sz val="8"/>
            <color indexed="81"/>
            <rFont val="Tahoma"/>
            <family val="2"/>
          </rPr>
          <t>From ALISE:
Part I, Item 3, Fall</t>
        </r>
        <r>
          <rPr>
            <sz val="8"/>
            <color indexed="81"/>
            <rFont val="Tahoma"/>
            <family val="2"/>
          </rPr>
          <t xml:space="preserve">
</t>
        </r>
      </text>
    </comment>
    <comment ref="I21" authorId="0" shapeId="0" xr:uid="{00000000-0006-0000-0C00-000003000000}">
      <text>
        <r>
          <rPr>
            <b/>
            <sz val="8"/>
            <color indexed="81"/>
            <rFont val="Tahoma"/>
            <family val="2"/>
          </rPr>
          <t>From ALISE:
Part II, Table II-1,
Total  Full-time,
ALA only</t>
        </r>
        <r>
          <rPr>
            <sz val="8"/>
            <color indexed="81"/>
            <rFont val="Tahoma"/>
            <family val="2"/>
          </rPr>
          <t xml:space="preserve">
</t>
        </r>
      </text>
    </comment>
    <comment ref="J21" authorId="0" shapeId="0" xr:uid="{00000000-0006-0000-0C00-000004000000}">
      <text>
        <r>
          <rPr>
            <b/>
            <sz val="8"/>
            <color indexed="81"/>
            <rFont val="Tahoma"/>
            <family val="2"/>
          </rPr>
          <t>From ALISE:
Part II, Table II-1,
Total No. Part-time,
ALA only</t>
        </r>
        <r>
          <rPr>
            <sz val="8"/>
            <color indexed="81"/>
            <rFont val="Tahoma"/>
            <family val="2"/>
          </rPr>
          <t xml:space="preserve">
</t>
        </r>
      </text>
    </comment>
    <comment ref="L21" authorId="0" shapeId="0" xr:uid="{00000000-0006-0000-0C00-000005000000}">
      <text>
        <r>
          <rPr>
            <b/>
            <sz val="8"/>
            <color indexed="81"/>
            <rFont val="Tahoma"/>
            <family val="2"/>
          </rPr>
          <t xml:space="preserve">From ALISE:
Part II, Table II-1,
Total Part-Time FTE, ALA only
</t>
        </r>
        <r>
          <rPr>
            <sz val="8"/>
            <color indexed="81"/>
            <rFont val="Tahoma"/>
            <family val="2"/>
          </rPr>
          <t xml:space="preserve">
</t>
        </r>
      </text>
    </comment>
    <comment ref="N21" authorId="0" shapeId="0" xr:uid="{00000000-0006-0000-0C00-000006000000}">
      <text>
        <r>
          <rPr>
            <b/>
            <sz val="8"/>
            <color indexed="81"/>
            <rFont val="Tahoma"/>
            <family val="2"/>
          </rPr>
          <t xml:space="preserve">From ALISE:
Part II, Table 11-4, Total AI, AP, B, and H,
ALA only  </t>
        </r>
        <r>
          <rPr>
            <sz val="8"/>
            <color indexed="81"/>
            <rFont val="Tahoma"/>
            <family val="2"/>
          </rPr>
          <t xml:space="preserve">
</t>
        </r>
      </text>
    </comment>
    <comment ref="O21" authorId="0" shapeId="0" xr:uid="{00000000-0006-0000-0C00-000007000000}">
      <text>
        <r>
          <rPr>
            <b/>
            <sz val="8"/>
            <color indexed="81"/>
            <rFont val="Tahoma"/>
            <family val="2"/>
          </rPr>
          <t>From ALISE:
Part II, Table II-1, Total FTE, all programs</t>
        </r>
        <r>
          <rPr>
            <sz val="8"/>
            <color indexed="81"/>
            <rFont val="Tahoma"/>
            <family val="2"/>
          </rPr>
          <t xml:space="preserve">
</t>
        </r>
      </text>
    </comment>
    <comment ref="Q21" authorId="0" shapeId="0" xr:uid="{00000000-0006-0000-0C00-000008000000}">
      <text>
        <r>
          <rPr>
            <b/>
            <sz val="8"/>
            <color indexed="81"/>
            <rFont val="Tahoma"/>
            <family val="2"/>
          </rPr>
          <t>From ALISE:
Part II, Table II-3, Total, ALA only</t>
        </r>
        <r>
          <rPr>
            <sz val="8"/>
            <color indexed="81"/>
            <rFont val="Tahoma"/>
            <family val="2"/>
          </rPr>
          <t xml:space="preserve">
</t>
        </r>
      </text>
    </comment>
    <comment ref="R21" authorId="0" shapeId="0" xr:uid="{00000000-0006-0000-0C00-000009000000}">
      <text>
        <r>
          <rPr>
            <b/>
            <sz val="8"/>
            <color indexed="81"/>
            <rFont val="Tahoma"/>
            <family val="2"/>
          </rPr>
          <t>From ALISE:
Part II, Table II-3, Total all other programs</t>
        </r>
        <r>
          <rPr>
            <sz val="8"/>
            <color indexed="81"/>
            <rFont val="Tahoma"/>
            <family val="2"/>
          </rPr>
          <t xml:space="preserve">
</t>
        </r>
      </text>
    </comment>
    <comment ref="S21" authorId="0" shapeId="0" xr:uid="{00000000-0006-0000-0C00-00000A000000}">
      <text>
        <r>
          <rPr>
            <b/>
            <sz val="8"/>
            <color indexed="81"/>
            <rFont val="Tahoma"/>
            <family val="2"/>
          </rPr>
          <t>From ALISE:
Part IV, Line 59</t>
        </r>
        <r>
          <rPr>
            <sz val="8"/>
            <color indexed="81"/>
            <rFont val="Tahoma"/>
            <family val="2"/>
          </rPr>
          <t xml:space="preserve">
</t>
        </r>
      </text>
    </comment>
    <comment ref="U21" authorId="0" shapeId="0" xr:uid="{00000000-0006-0000-0C00-00000B000000}">
      <text>
        <r>
          <rPr>
            <b/>
            <sz val="8"/>
            <color indexed="81"/>
            <rFont val="Tahoma"/>
            <family val="2"/>
          </rPr>
          <t>From ALISE:
Part IV, Line 60</t>
        </r>
        <r>
          <rPr>
            <sz val="8"/>
            <color indexed="81"/>
            <rFont val="Tahoma"/>
            <family val="2"/>
          </rPr>
          <t xml:space="preserve">
</t>
        </r>
      </text>
    </comment>
    <comment ref="V21" authorId="0" shapeId="0" xr:uid="{00000000-0006-0000-0C00-00000C000000}">
      <text>
        <r>
          <rPr>
            <b/>
            <sz val="8"/>
            <color indexed="81"/>
            <rFont val="Tahoma"/>
            <family val="2"/>
          </rPr>
          <t>From ALISE:
Part IV, Total lines 61, 62, 63, 64, and 68</t>
        </r>
        <r>
          <rPr>
            <sz val="8"/>
            <color indexed="81"/>
            <rFont val="Tahoma"/>
            <family val="2"/>
          </rPr>
          <t xml:space="preserve">
</t>
        </r>
      </text>
    </comment>
    <comment ref="B22" authorId="0" shapeId="0" xr:uid="{00000000-0006-0000-0C00-00000D000000}">
      <text>
        <r>
          <rPr>
            <b/>
            <sz val="8"/>
            <color indexed="81"/>
            <rFont val="Tahoma"/>
            <family val="2"/>
          </rPr>
          <t>From ALISE:
Part I, Item 2, Fall</t>
        </r>
        <r>
          <rPr>
            <sz val="8"/>
            <color indexed="81"/>
            <rFont val="Tahoma"/>
            <family val="2"/>
          </rPr>
          <t xml:space="preserve">
</t>
        </r>
      </text>
    </comment>
    <comment ref="C22" authorId="0" shapeId="0" xr:uid="{00000000-0006-0000-0C00-00000E000000}">
      <text>
        <r>
          <rPr>
            <b/>
            <sz val="8"/>
            <color indexed="81"/>
            <rFont val="Tahoma"/>
            <family val="2"/>
          </rPr>
          <t>From ALISE:
Part I, Item 3, Fall</t>
        </r>
        <r>
          <rPr>
            <sz val="8"/>
            <color indexed="81"/>
            <rFont val="Tahoma"/>
            <family val="2"/>
          </rPr>
          <t xml:space="preserve">
</t>
        </r>
      </text>
    </comment>
    <comment ref="I22" authorId="0" shapeId="0" xr:uid="{00000000-0006-0000-0C00-00000F000000}">
      <text>
        <r>
          <rPr>
            <b/>
            <sz val="8"/>
            <color indexed="81"/>
            <rFont val="Tahoma"/>
            <family val="2"/>
          </rPr>
          <t>From ALISE:
Part II, Table II-1,
Total  Full-time,
ALA only</t>
        </r>
        <r>
          <rPr>
            <sz val="8"/>
            <color indexed="81"/>
            <rFont val="Tahoma"/>
            <family val="2"/>
          </rPr>
          <t xml:space="preserve">
</t>
        </r>
      </text>
    </comment>
    <comment ref="J22" authorId="0" shapeId="0" xr:uid="{00000000-0006-0000-0C00-000010000000}">
      <text>
        <r>
          <rPr>
            <b/>
            <sz val="8"/>
            <color indexed="81"/>
            <rFont val="Tahoma"/>
            <family val="2"/>
          </rPr>
          <t>From ALISE:
Part II, Table II-1,
Total No. Part-time,
ALA only</t>
        </r>
        <r>
          <rPr>
            <sz val="8"/>
            <color indexed="81"/>
            <rFont val="Tahoma"/>
            <family val="2"/>
          </rPr>
          <t xml:space="preserve">
</t>
        </r>
      </text>
    </comment>
    <comment ref="L22" authorId="0" shapeId="0" xr:uid="{00000000-0006-0000-0C00-000011000000}">
      <text>
        <r>
          <rPr>
            <b/>
            <sz val="8"/>
            <color indexed="81"/>
            <rFont val="Tahoma"/>
            <family val="2"/>
          </rPr>
          <t xml:space="preserve">From ALISE:
Part II, Table II-1,
Total Part-Time FTE, ALA only
</t>
        </r>
        <r>
          <rPr>
            <sz val="8"/>
            <color indexed="81"/>
            <rFont val="Tahoma"/>
            <family val="2"/>
          </rPr>
          <t xml:space="preserve">
</t>
        </r>
      </text>
    </comment>
    <comment ref="N22" authorId="0" shapeId="0" xr:uid="{00000000-0006-0000-0C00-000012000000}">
      <text>
        <r>
          <rPr>
            <b/>
            <sz val="8"/>
            <color indexed="81"/>
            <rFont val="Tahoma"/>
            <family val="2"/>
          </rPr>
          <t xml:space="preserve">From ALISE:
Part II, Table 11-4, Total AI, AP, B, and H,
ALA only  </t>
        </r>
        <r>
          <rPr>
            <sz val="8"/>
            <color indexed="81"/>
            <rFont val="Tahoma"/>
            <family val="2"/>
          </rPr>
          <t xml:space="preserve">
</t>
        </r>
      </text>
    </comment>
    <comment ref="O22" authorId="0" shapeId="0" xr:uid="{00000000-0006-0000-0C00-000013000000}">
      <text>
        <r>
          <rPr>
            <b/>
            <sz val="8"/>
            <color indexed="81"/>
            <rFont val="Tahoma"/>
            <family val="2"/>
          </rPr>
          <t>From ALISE:
Part II, Table II-1, Total FTE, all programs</t>
        </r>
        <r>
          <rPr>
            <sz val="8"/>
            <color indexed="81"/>
            <rFont val="Tahoma"/>
            <family val="2"/>
          </rPr>
          <t xml:space="preserve">
</t>
        </r>
      </text>
    </comment>
    <comment ref="Q22" authorId="0" shapeId="0" xr:uid="{00000000-0006-0000-0C00-000014000000}">
      <text>
        <r>
          <rPr>
            <b/>
            <sz val="8"/>
            <color indexed="81"/>
            <rFont val="Tahoma"/>
            <family val="2"/>
          </rPr>
          <t>From ALISE:
Part II, Table II-3, Total, ALA only</t>
        </r>
        <r>
          <rPr>
            <sz val="8"/>
            <color indexed="81"/>
            <rFont val="Tahoma"/>
            <family val="2"/>
          </rPr>
          <t xml:space="preserve">
</t>
        </r>
      </text>
    </comment>
    <comment ref="R22" authorId="0" shapeId="0" xr:uid="{00000000-0006-0000-0C00-000015000000}">
      <text>
        <r>
          <rPr>
            <b/>
            <sz val="8"/>
            <color indexed="81"/>
            <rFont val="Tahoma"/>
            <family val="2"/>
          </rPr>
          <t>From ALISE:
Part II, Table II-3, Total all other programs</t>
        </r>
        <r>
          <rPr>
            <sz val="8"/>
            <color indexed="81"/>
            <rFont val="Tahoma"/>
            <family val="2"/>
          </rPr>
          <t xml:space="preserve">
</t>
        </r>
      </text>
    </comment>
    <comment ref="S22" authorId="0" shapeId="0" xr:uid="{00000000-0006-0000-0C00-000016000000}">
      <text>
        <r>
          <rPr>
            <b/>
            <sz val="8"/>
            <color indexed="81"/>
            <rFont val="Tahoma"/>
            <family val="2"/>
          </rPr>
          <t>From ALISE:
Part IV, Line 59</t>
        </r>
        <r>
          <rPr>
            <sz val="8"/>
            <color indexed="81"/>
            <rFont val="Tahoma"/>
            <family val="2"/>
          </rPr>
          <t xml:space="preserve">
</t>
        </r>
      </text>
    </comment>
    <comment ref="U22" authorId="0" shapeId="0" xr:uid="{00000000-0006-0000-0C00-000017000000}">
      <text>
        <r>
          <rPr>
            <b/>
            <sz val="8"/>
            <color indexed="81"/>
            <rFont val="Tahoma"/>
            <family val="2"/>
          </rPr>
          <t>From ALISE:
Part IV, Line 60</t>
        </r>
        <r>
          <rPr>
            <sz val="8"/>
            <color indexed="81"/>
            <rFont val="Tahoma"/>
            <family val="2"/>
          </rPr>
          <t xml:space="preserve">
</t>
        </r>
      </text>
    </comment>
    <comment ref="V22" authorId="0" shapeId="0" xr:uid="{00000000-0006-0000-0C00-000018000000}">
      <text>
        <r>
          <rPr>
            <b/>
            <sz val="8"/>
            <color indexed="81"/>
            <rFont val="Tahoma"/>
            <family val="2"/>
          </rPr>
          <t>From ALISE:
Part IV, Total lines 61, 62, 63, 64, and 68</t>
        </r>
        <r>
          <rPr>
            <sz val="8"/>
            <color indexed="81"/>
            <rFont val="Tahoma"/>
            <family val="2"/>
          </rPr>
          <t xml:space="preserve">
</t>
        </r>
      </text>
    </comment>
    <comment ref="B23" authorId="0" shapeId="0" xr:uid="{00000000-0006-0000-0C00-000019000000}">
      <text>
        <r>
          <rPr>
            <b/>
            <sz val="8"/>
            <color indexed="81"/>
            <rFont val="Tahoma"/>
            <family val="2"/>
          </rPr>
          <t>From ALISE:
Part I, Item 2, Fall</t>
        </r>
        <r>
          <rPr>
            <sz val="8"/>
            <color indexed="81"/>
            <rFont val="Tahoma"/>
            <family val="2"/>
          </rPr>
          <t xml:space="preserve">
</t>
        </r>
      </text>
    </comment>
    <comment ref="C23" authorId="0" shapeId="0" xr:uid="{00000000-0006-0000-0C00-00001A000000}">
      <text>
        <r>
          <rPr>
            <b/>
            <sz val="8"/>
            <color indexed="81"/>
            <rFont val="Tahoma"/>
            <family val="2"/>
          </rPr>
          <t>From ALISE:
Part I, Item 3, Fall</t>
        </r>
        <r>
          <rPr>
            <sz val="8"/>
            <color indexed="81"/>
            <rFont val="Tahoma"/>
            <family val="2"/>
          </rPr>
          <t xml:space="preserve">
</t>
        </r>
      </text>
    </comment>
    <comment ref="I23" authorId="0" shapeId="0" xr:uid="{00000000-0006-0000-0C00-00001B000000}">
      <text>
        <r>
          <rPr>
            <b/>
            <sz val="8"/>
            <color indexed="81"/>
            <rFont val="Tahoma"/>
            <family val="2"/>
          </rPr>
          <t>From ALISE:
Part II, Table II-1,
Total  Full-time,
ALA only</t>
        </r>
        <r>
          <rPr>
            <sz val="8"/>
            <color indexed="81"/>
            <rFont val="Tahoma"/>
            <family val="2"/>
          </rPr>
          <t xml:space="preserve">
</t>
        </r>
      </text>
    </comment>
    <comment ref="J23" authorId="0" shapeId="0" xr:uid="{00000000-0006-0000-0C00-00001C000000}">
      <text>
        <r>
          <rPr>
            <b/>
            <sz val="8"/>
            <color indexed="81"/>
            <rFont val="Tahoma"/>
            <family val="2"/>
          </rPr>
          <t>From ALISE:
Part II, Table II-1,
Total No. Part-time,
ALA only</t>
        </r>
        <r>
          <rPr>
            <sz val="8"/>
            <color indexed="81"/>
            <rFont val="Tahoma"/>
            <family val="2"/>
          </rPr>
          <t xml:space="preserve">
</t>
        </r>
      </text>
    </comment>
    <comment ref="L23" authorId="0" shapeId="0" xr:uid="{00000000-0006-0000-0C00-00001D000000}">
      <text>
        <r>
          <rPr>
            <b/>
            <sz val="8"/>
            <color indexed="81"/>
            <rFont val="Tahoma"/>
            <family val="2"/>
          </rPr>
          <t xml:space="preserve">From ALISE:
Part II, Table II-1,
Total Part-Time FTE, ALA only
</t>
        </r>
        <r>
          <rPr>
            <sz val="8"/>
            <color indexed="81"/>
            <rFont val="Tahoma"/>
            <family val="2"/>
          </rPr>
          <t xml:space="preserve">
</t>
        </r>
      </text>
    </comment>
    <comment ref="N23" authorId="0" shapeId="0" xr:uid="{00000000-0006-0000-0C00-00001E000000}">
      <text>
        <r>
          <rPr>
            <b/>
            <sz val="8"/>
            <color indexed="81"/>
            <rFont val="Tahoma"/>
            <family val="2"/>
          </rPr>
          <t xml:space="preserve">From ALISE:
Part II, Table 11-4, Total AI, AP, B, and H,
ALA only  </t>
        </r>
        <r>
          <rPr>
            <sz val="8"/>
            <color indexed="81"/>
            <rFont val="Tahoma"/>
            <family val="2"/>
          </rPr>
          <t xml:space="preserve">
</t>
        </r>
      </text>
    </comment>
    <comment ref="O23" authorId="0" shapeId="0" xr:uid="{00000000-0006-0000-0C00-00001F000000}">
      <text>
        <r>
          <rPr>
            <b/>
            <sz val="8"/>
            <color indexed="81"/>
            <rFont val="Tahoma"/>
            <family val="2"/>
          </rPr>
          <t>From ALISE:
Part II, Table II-1, Total FTE, all programs</t>
        </r>
        <r>
          <rPr>
            <sz val="8"/>
            <color indexed="81"/>
            <rFont val="Tahoma"/>
            <family val="2"/>
          </rPr>
          <t xml:space="preserve">
</t>
        </r>
      </text>
    </comment>
    <comment ref="Q23" authorId="0" shapeId="0" xr:uid="{00000000-0006-0000-0C00-000020000000}">
      <text>
        <r>
          <rPr>
            <b/>
            <sz val="8"/>
            <color indexed="81"/>
            <rFont val="Tahoma"/>
            <family val="2"/>
          </rPr>
          <t>From ALISE:
Part II, Table II-3, Total, ALA only</t>
        </r>
        <r>
          <rPr>
            <sz val="8"/>
            <color indexed="81"/>
            <rFont val="Tahoma"/>
            <family val="2"/>
          </rPr>
          <t xml:space="preserve">
</t>
        </r>
      </text>
    </comment>
    <comment ref="R23" authorId="0" shapeId="0" xr:uid="{00000000-0006-0000-0C00-000021000000}">
      <text>
        <r>
          <rPr>
            <b/>
            <sz val="8"/>
            <color indexed="81"/>
            <rFont val="Tahoma"/>
            <family val="2"/>
          </rPr>
          <t>From ALISE:
Part II, Table II-3, Total all other programs</t>
        </r>
        <r>
          <rPr>
            <sz val="8"/>
            <color indexed="81"/>
            <rFont val="Tahoma"/>
            <family val="2"/>
          </rPr>
          <t xml:space="preserve">
</t>
        </r>
      </text>
    </comment>
    <comment ref="S23" authorId="0" shapeId="0" xr:uid="{00000000-0006-0000-0C00-000022000000}">
      <text>
        <r>
          <rPr>
            <b/>
            <sz val="8"/>
            <color indexed="81"/>
            <rFont val="Tahoma"/>
            <family val="2"/>
          </rPr>
          <t>From ALISE:
Part IV, Line 59</t>
        </r>
        <r>
          <rPr>
            <sz val="8"/>
            <color indexed="81"/>
            <rFont val="Tahoma"/>
            <family val="2"/>
          </rPr>
          <t xml:space="preserve">
</t>
        </r>
      </text>
    </comment>
    <comment ref="U23" authorId="0" shapeId="0" xr:uid="{00000000-0006-0000-0C00-000023000000}">
      <text>
        <r>
          <rPr>
            <b/>
            <sz val="8"/>
            <color indexed="81"/>
            <rFont val="Tahoma"/>
            <family val="2"/>
          </rPr>
          <t>From ALISE:
Part IV, Line 60</t>
        </r>
        <r>
          <rPr>
            <sz val="8"/>
            <color indexed="81"/>
            <rFont val="Tahoma"/>
            <family val="2"/>
          </rPr>
          <t xml:space="preserve">
</t>
        </r>
      </text>
    </comment>
    <comment ref="V23" authorId="0" shapeId="0" xr:uid="{00000000-0006-0000-0C00-000024000000}">
      <text>
        <r>
          <rPr>
            <b/>
            <sz val="8"/>
            <color indexed="81"/>
            <rFont val="Tahoma"/>
            <family val="2"/>
          </rPr>
          <t>From ALISE:
Part IV, Total lines 61, 62, 63, 64, and 68</t>
        </r>
        <r>
          <rPr>
            <sz val="8"/>
            <color indexed="81"/>
            <rFont val="Tahoma"/>
            <family val="2"/>
          </rPr>
          <t xml:space="preserve">
</t>
        </r>
      </text>
    </comment>
  </commentList>
</comments>
</file>

<file path=xl/sharedStrings.xml><?xml version="1.0" encoding="utf-8"?>
<sst xmlns="http://schemas.openxmlformats.org/spreadsheetml/2006/main" count="2081" uniqueCount="242">
  <si>
    <t>Year</t>
  </si>
  <si>
    <t xml:space="preserve"> Total ALA (headcount) Masters Students</t>
  </si>
  <si>
    <t xml:space="preserve"> ALA Masters Degrees Awarded</t>
  </si>
  <si>
    <t>Alabama</t>
  </si>
  <si>
    <t>Report Year</t>
  </si>
  <si>
    <t xml:space="preserve"> FT Faculty</t>
  </si>
  <si>
    <t xml:space="preserve"> PT (FTE) Faculty</t>
  </si>
  <si>
    <t xml:space="preserve"> Total FTE Faculty</t>
  </si>
  <si>
    <t xml:space="preserve"> Total FTE Enrollment-FT Faculty Ratio</t>
  </si>
  <si>
    <t xml:space="preserve"> Total FTE Enrollment-FTE Faculty Ratio</t>
  </si>
  <si>
    <t>FT Faculty (ALA Masters program)</t>
  </si>
  <si>
    <t>PT (FTE) Faculty (ALA Masters program)</t>
  </si>
  <si>
    <t xml:space="preserve"> FT ALA Masters Students</t>
  </si>
  <si>
    <t xml:space="preserve"> PT ALA (headcount) Masters Students</t>
  </si>
  <si>
    <t xml:space="preserve"> PT ALA (FTE) Masters Students</t>
  </si>
  <si>
    <t xml:space="preserve"> Total ALA (FTE) Masters Students</t>
  </si>
  <si>
    <t xml:space="preserve"> ALA Minority Enrollment</t>
  </si>
  <si>
    <t xml:space="preserve"> Total FTE Enrollment (entire school all programs)</t>
  </si>
  <si>
    <t xml:space="preserve"> % of ALA Students/Total FTE Enrollment</t>
  </si>
  <si>
    <t xml:space="preserve"> Other Degrees Awarded</t>
  </si>
  <si>
    <t xml:space="preserve"> Total Expenditure</t>
  </si>
  <si>
    <t xml:space="preserve"> Income Total</t>
  </si>
  <si>
    <t xml:space="preserve"> Income Parent Institution</t>
  </si>
  <si>
    <t xml:space="preserve"> Income All Other</t>
  </si>
  <si>
    <t xml:space="preserve"> % Other Income/Total Income</t>
  </si>
  <si>
    <t>2012</t>
  </si>
  <si>
    <t>2011</t>
  </si>
  <si>
    <t>2010</t>
  </si>
  <si>
    <t>2009</t>
  </si>
  <si>
    <t>2008</t>
  </si>
  <si>
    <t>2007</t>
  </si>
  <si>
    <t>2006</t>
  </si>
  <si>
    <t>2005</t>
  </si>
  <si>
    <t>Albany</t>
  </si>
  <si>
    <t>2013</t>
  </si>
  <si>
    <t>2003</t>
  </si>
  <si>
    <t>2011 Note: Program explanation for sharp decrease in other degrees awarded: "Our undergraduate information science major was moved from our department to the Informatics Department. I think that accounts for the drastic drop in non-ALA degrees. Really the only non-ALA degree we offer in the department now is our Certificate of Advanced Study."</t>
  </si>
  <si>
    <t>2016: The undergraduate program has now been moved to our department, so that explains the sharp increase in Total FTE Enrollment School (cell O3) and Other Degrees Awarded (cell R3).</t>
  </si>
  <si>
    <t>2017 (sent on 2/15/18): For 2016 data, Column S was changed from $1,673,743 to $2,031,001.</t>
  </si>
  <si>
    <t>Alberta</t>
  </si>
  <si>
    <t>N/A</t>
  </si>
  <si>
    <t>2018 note: Budget cut of 2.5% and loss of administrative postion</t>
  </si>
  <si>
    <t>Arizona</t>
  </si>
  <si>
    <t xml:space="preserve">2010 Note: Notes from program in 2010 ALISE statistical report, Student Tab: For Table II-1: "*New student system not producing accurate information. For Tab II-3 and II-4: "New Student system ethnic origin is not available or not accurate for reporting." </t>
  </si>
  <si>
    <t>2016: We merged with another university unit in July 2015; thus, we had an increase in income and expenses</t>
  </si>
  <si>
    <t xml:space="preserve">2018: PT Student FTE formula - Arizona Board of Regents (ABOR) FTE is not straight forward; it evaluates a student’s credit-bearing unit load and calculates the FTE based on class division (lower-division / 15, upper-division / 12, &amp; graduate-division / 10). Therefore, a full-time student for IPEDS can have an ABOR FTE not equal to 1. </t>
  </si>
  <si>
    <t>British Columbia</t>
  </si>
  <si>
    <t>2014</t>
  </si>
  <si>
    <r>
      <t xml:space="preserve">2011 Note: </t>
    </r>
    <r>
      <rPr>
        <sz val="11"/>
        <color theme="1"/>
        <rFont val="Calibri"/>
        <family val="2"/>
        <scheme val="minor"/>
      </rPr>
      <t xml:space="preserve">program note on questionnaire regarding deficit:  3% is allowed as carry forward </t>
    </r>
  </si>
  <si>
    <t xml:space="preserve">2016: Please note again that the other income is research and is not channelled into the Schools budget but needs to be reflected we do not operate on the US model of funding. Should not therefore be added to income total.  </t>
  </si>
  <si>
    <t>2017:  Other income now includes endowment and trust funds totalling this year $23,899 and a major research grant.  Increases here and in FT and PT faculty for ALA Master program reflect the integrated approach we are now embracing within the school.</t>
  </si>
  <si>
    <t>Buffalo</t>
  </si>
  <si>
    <t>2016 Note : The 2015 data reported fringe benefits only in Expenditures instead of Expenditures and Income, as reported in the past and in 2016.</t>
  </si>
  <si>
    <t>2018 Note: University Human Resources notes that fringe benefits are not expenditures of the University, but are expenditures of the State of New York. Past practice in our reporting has been to include a percentage of salary expenditure as institutional support representing fringe benefits. We have been informed that this is incorrect practice, and starting with this report and henceforth, we will include only salary expenditures as institutional support for personnel.</t>
  </si>
  <si>
    <t>California - Los Angeles</t>
  </si>
  <si>
    <t>Catholic</t>
  </si>
  <si>
    <t>$901, 316</t>
  </si>
  <si>
    <t>939, 574</t>
  </si>
  <si>
    <t>Excess funds can be carried forward into the next year, per the University's budget policies.</t>
  </si>
  <si>
    <t>Chicago State</t>
  </si>
  <si>
    <t>2015 Student headcount likely due to literal interpretation of questions, since program is not currently ALA-accredited</t>
  </si>
  <si>
    <t>2016: ALA Master's Degrees Awarded: is degrees awarded by the program with Candidacy status</t>
  </si>
  <si>
    <t>Clarion</t>
  </si>
  <si>
    <t>Dalhousie</t>
  </si>
  <si>
    <t>n/a</t>
  </si>
  <si>
    <t>1.359.385</t>
  </si>
  <si>
    <t>2/14/18: Corrected column "C" for 2016 - changed from 8 to 2.64.</t>
  </si>
  <si>
    <t>Denver</t>
  </si>
  <si>
    <r>
      <t xml:space="preserve">2010 Note: </t>
    </r>
    <r>
      <rPr>
        <sz val="11"/>
        <color theme="1"/>
        <rFont val="Calibri"/>
        <family val="2"/>
        <scheme val="minor"/>
      </rPr>
      <t>Due to a formula error in the 2010 ALISE questionnaire (item 57 of the Income and Expenditure tab should have pulled from cell B36, rather than cell C36), this amount was updated in September, 2011. The previously entered incorrect data was as follows:  $2,742,145</t>
    </r>
  </si>
  <si>
    <t>Dominican</t>
  </si>
  <si>
    <t>2/15/18 Notes: 
* Column  S explanation: Include SOIS salaries, wages and all operating expenses for the 12-month period that includes the 2016-2017 academic year
* Column U explanation: Income Parent Institution, for the 12-month period that includes the 2016-2017 academic year
* Column V explanation: Income, all-other, for 12-month period that includes the 2016-2017 academic year, all sources of income not listed above, including fedarl grants, contracts, CE activities, endowment/trust funds, state grants and contracts</t>
  </si>
  <si>
    <t>Drexel</t>
  </si>
  <si>
    <r>
      <t xml:space="preserve">2014: FT faculty = Total # of FT faculty in college (# of FT faculty teaching in ALA-accredited program </t>
    </r>
    <r>
      <rPr>
        <sz val="11"/>
        <color theme="1"/>
        <rFont val="Calibri"/>
        <family val="2"/>
        <scheme val="minor"/>
      </rPr>
      <t>only = 18)</t>
    </r>
  </si>
  <si>
    <t>2013 Report notes "This represents the number of FT faculty who only taught in courses related to the ALA-accredited MSLIS degree program and did NOT teach in courses outside that program." A total of 71 FT Faculty are reported, with 64 of those faculty teaching.</t>
  </si>
  <si>
    <t>2013 FTE enrollment: "For data relating to FALL 2013, we are reporting as a newly formed College of Computing &amp; Informatics [on 9/9/13 it was announced that this new college combined the programs/faculties of the College of Information Science and Technology, department of Computer Science and the program in Computing and Security Technology]. However, when reporting data on AY12-13, we are reporting as the former College of Information Science &amp; Technology."</t>
  </si>
  <si>
    <t>2013: Expenditures exceeding income are covered by "Reserved funds from colleges online revenue stream."</t>
  </si>
  <si>
    <t>East Carolina</t>
  </si>
  <si>
    <t>Emporia State</t>
  </si>
  <si>
    <t>2018 notes: Column L - Kansas Board of Regents mandated a change in the way we calculate graduate FTE. We used to divide by 9, but the board says we now must divide by 12. Columns S through V: Added a new cohort location which effects expenses/income</t>
  </si>
  <si>
    <t>Florida State</t>
  </si>
  <si>
    <t>2015 data: note from program regarding Income: In previous years, auxiliary and market rate income collections were reported appropriately as Parent Institution Income.  This year, reporting of financial data was coordinated by a college-level UBA staff person, who reported these income categories under “Other Income.” The revisions correct this. The drop in total income is consistent with the grant funding trend at the School of Information during this period.</t>
  </si>
  <si>
    <t>Hawaii</t>
  </si>
  <si>
    <t>Flood disaster made data unavailable.</t>
  </si>
  <si>
    <t>Illinois</t>
  </si>
  <si>
    <t>2016: Increase in total FTE (cell O3) due to new MS in Information Management degree launched fall 2016.</t>
  </si>
  <si>
    <t>2016: Expenditures (cell S3) exceeded income (cell T3) due to a decrease in state funding. The deficit was covered using the previous year's balances that were carried forward.</t>
  </si>
  <si>
    <t>2017: Increase in total FTE (cell O3) due to the continued growth in the new MS in Information Management degree launched in fall 2016.</t>
  </si>
  <si>
    <t>2017: Expenditures (cell S3) exceeded income (cell T3) as we increased services to accommodate anticipated rapid enrollment increases in the MS in Information Management.</t>
  </si>
  <si>
    <t>Indiana - Bloomington</t>
  </si>
  <si>
    <t>2002-2015: FT faculty = faculty teaching in ALA-accredited program only</t>
  </si>
  <si>
    <t>2016 - FT faculty = full-time faculty in the entire school; both those with and those without teaching responsibilities (regardless of program)</t>
  </si>
  <si>
    <t>2013 Other Degrees Awarded increase due to reorganization into a larger school. Figure includes all other degrees awarded, including the Bachelor's, Other Master's (not ALA-accredited) and Doctoral.</t>
  </si>
  <si>
    <t>2017: Decrease in number of students is due to submitting a separate report this year than IUPUI. Prior to this  year, their numbers were reflected in this report.</t>
  </si>
  <si>
    <t>-</t>
  </si>
  <si>
    <t>Indiana University – Purdue University, Indianapolis</t>
  </si>
  <si>
    <t>Iowa</t>
  </si>
  <si>
    <t>.51.5</t>
  </si>
  <si>
    <t>Kent State</t>
  </si>
  <si>
    <t>Kentucky</t>
  </si>
  <si>
    <t>Long Island</t>
  </si>
  <si>
    <t>2/15/18 Note: Sudden increases in columns V and W are due to an external grant, which will continue providing income for 3 more years.</t>
  </si>
  <si>
    <t xml:space="preserve">2/15/21 Note: C3 increase due to enrollment shifts following faculty reductions of previous year. </t>
  </si>
  <si>
    <t>2/15/21 Note: Decrease in O3 reflects ongoing enrollment shifts in the post-ALA Master's programs: Public Library Director Certificate Program, School Library Media cohorts, and the Ph.D. program</t>
  </si>
  <si>
    <t>2/15/21 Note: Decrease in S3 reflects staff reductions and reassignments, and shifting of costs for resources during pandemic.</t>
  </si>
  <si>
    <t>2/15/21 Note: Increase in T3 reflects ongoing enrollment in the post-Master's Public Library Director Certificate Program, School Library Media cohorts, and the Ph.D. program, as well as increased grant funding</t>
  </si>
  <si>
    <t>2/15/21 Note: V3 increase reflects ongoing installments of grant revenues</t>
  </si>
  <si>
    <t>2022 Note: B3-D3, G3, H3 reflect frozen total of Palmer faculty</t>
  </si>
  <si>
    <t>2022 Note: I3-M3 reflect "post-pandemic" increase in enrollment</t>
  </si>
  <si>
    <t>2022 Note: P3 increase from P4 reflects noticeable increase specifically in ALA Master's program, more so than other programs, likely due to increased hiring post-pandemic; we are still investigating this</t>
  </si>
  <si>
    <t>2022 Note: R3 decrease from R4 reflects noticeable decline in grads within non-ALA Master's program</t>
  </si>
  <si>
    <t>2022 Note: V3 increase reflects newly received $1,000,000.00 grant from the Gardiner Foundation</t>
  </si>
  <si>
    <t>Louisiana State</t>
  </si>
  <si>
    <t>2013: The spreadsheet is adding in the Fringe Benefits amount of $287,720 into total income sources (salaries and wages) and we do not use this figure under Section B: Sources of Funds. That explains the difference between the total of $993,543 (Section B) and $1,281,263 (Total Expenditures).</t>
  </si>
  <si>
    <t>2016: The difference in data for Total FTE Enrollment (column O) &amp; ALA MASTERS Degrees Awarded (column Q) correlates with the decrease in Total ALA Masters Students (column K) over the last 5 years.</t>
  </si>
  <si>
    <t>2016: The difference in income data from 2015 stems from less faculty salaries paid and less expenses charged against our school budget.</t>
  </si>
  <si>
    <t>2017: Column O does not include students in other majors taking MLIS courses. It does include students in MLIS, CRIM, and CSLIB curric majors. If there were degrees awarded to CRIM and CSLIB students, that number would go in Column R. There are none this academic year.</t>
  </si>
  <si>
    <t>2017: Column V is a lower amount from the previous year because grant funds were not expended.</t>
  </si>
  <si>
    <t>2018: Column O includes the 109 FTE from Column M plus 4.0 FTE from Other Graduate category which includes the Graduate Certificate enrollment</t>
  </si>
  <si>
    <t>2018: Column R includes those students who earned a Graduate Certificate- CRIM or CSLIB</t>
  </si>
  <si>
    <t>2019: Column O includes the 101 FTE from Column M plus 4.9 FTE from Other Graduate category, which includes the Graduate Certificate enrollment</t>
  </si>
  <si>
    <t xml:space="preserve">2019: Column R includes those students who earned a Graduate Certificate - CARST, CRIM or CSLIB </t>
  </si>
  <si>
    <t xml:space="preserve">2020: Column </t>
  </si>
  <si>
    <t>O includes the 138 FTE from Column M plus the14.8 FTE from Other Graduate category, which includes the Graduate Certificate enrollment</t>
  </si>
  <si>
    <t xml:space="preserve">2020: Column R includes those students who earned a Graduate Certificate - CARST, CRIM or CSLIB </t>
  </si>
  <si>
    <t xml:space="preserve">2020: Column V shows 0 </t>
  </si>
  <si>
    <t>V shows zero in All Other Income because SLIS did not award scholarships in Fall 2020, but will award in Spring 2021</t>
  </si>
  <si>
    <t>Maryland</t>
  </si>
  <si>
    <t xml:space="preserve">2014 note from program regarding income and expenditure: The total salaries and wages is $3,300,466. Research salaries ($527,282) are paid by research funds not the college base budget. Other salaries (330,209) are paid by other departments through shared appointments. Fringe benefits ($1,120,128) are paid by the University fringe benefits pool. The formulas used in this spreadsheet are including those expenses, hence the discrepencies. </t>
  </si>
  <si>
    <t>2015: Note from program regarding FT Faculty (Column B): The College reported the question for total number of faculty with teaching responsibilities solely in the MLS program in the 2014-2015 reporting period. Previously reported as total FT Faculty in the College with teaching responsibilities.</t>
  </si>
  <si>
    <t xml:space="preserve">2017: Note from the program, we had a substantial increase in the number of FT Faculty at the College. This is due to rapid growth of our undergradaute program, requiring additional teaching faculty. Additionally, Dean Marzullo joined the College in Fall 2016, with his hiring came a number of tenure track faculty lines. </t>
  </si>
  <si>
    <t xml:space="preserve">2018: Note from the program reguarding Total FTE Enrollment: Our undergraduate program has continued to grow immensely in the last year. We currently have 708 FTE undergraduates. </t>
  </si>
  <si>
    <t>2020: ALA Minority Enrollment only includes students who have indicated a race, 14 students' race is indicated as "Unknown"</t>
  </si>
  <si>
    <t>2022: ALA Minority Enrollment only includes students who have indicated a race, 11 students' race is indicated as "Unknown" and are there, not included in this count.</t>
  </si>
  <si>
    <t>McGill</t>
  </si>
  <si>
    <r>
      <rPr>
        <b/>
        <sz val="11"/>
        <color theme="1"/>
        <rFont val="Calibri"/>
        <family val="2"/>
        <scheme val="minor"/>
      </rPr>
      <t xml:space="preserve">Expenditures/Budget: </t>
    </r>
    <r>
      <rPr>
        <sz val="11"/>
        <color theme="1"/>
        <rFont val="Calibri"/>
        <family val="2"/>
        <scheme val="minor"/>
      </rPr>
      <t>McGill's Fiscal Year runs from May 1st to April 30th every year. The amounts input this year were taken from our fiscal year calendar as apposed to the yearly calendar (Jan to Dec), as such it depicts the expenditures and revenues of our School more accurately.</t>
    </r>
  </si>
  <si>
    <t>Michigan</t>
  </si>
  <si>
    <t>&lt;&lt;Back to Table of Contents</t>
  </si>
  <si>
    <t>Missouri</t>
  </si>
  <si>
    <t>2016: Campus payments for GA tuition and medical insurance had not been counted in other income until FY16 therefore the difference.</t>
  </si>
  <si>
    <t xml:space="preserve">2017: Columns B and C include all SISLT faculty; Columns G and H include MLIS program faculty. Two .5 FTE faculty had their FTE increased and are now full-time. </t>
  </si>
  <si>
    <t>1/17/18: Updated the 2016 numbers for column B, C, G, H, as they were incorrect.</t>
  </si>
  <si>
    <t xml:space="preserve">2018: Reduction in total expenditure for 2018 is as a result of cost saving mandates across campus, and is reflected in lower parent institution income. </t>
  </si>
  <si>
    <t xml:space="preserve">2020: Institution has a new budget model that changed how money is allocated to schools. All money is now funneled through the University and returned to the College, then reallocated to the school. </t>
  </si>
  <si>
    <t xml:space="preserve">2021: budget model changed from an algorithimic model to a data informed model, but not tied to a specific algorithm. </t>
  </si>
  <si>
    <t>Montreal</t>
  </si>
  <si>
    <t>Includes Bachelor's &amp; Doctoral degrees awarded.</t>
  </si>
  <si>
    <t>North Carolina - Central</t>
  </si>
  <si>
    <t>North Carolina - Chapel Hill</t>
  </si>
  <si>
    <t xml:space="preserve">2016: The increase in income from sources other than parent institution is a result of new federal grants/contracts and hosting the iPres Conference.  </t>
  </si>
  <si>
    <t>2018: The increase in PT (FTE) Faculty, is a result of several factors, including three faculty on leave, several teaching load reductions, and an increase in the number of sections being taught.  Support from our parent institution was reduced by $294,823, roughly 5%.  To a large degree this was offset by an increase of $212,275 in School-Based Tuition, due to increased enrollment; please note SBT is considered ‘Other Income’ for the purposes of the ALA  reprot.  By far, the key factor in our income growth was due new grants.</t>
  </si>
  <si>
    <t>2020: In previous years what gets included in parent-institution has changed, with the recent changes to the ALISE survey we are submitting the data as per their changed request.  In the previous requests where parent institute was only parent  institution that the amount would be $4,626,595.</t>
  </si>
  <si>
    <t>North Carolina - Greensboro</t>
  </si>
  <si>
    <t xml:space="preserve">2/15/18: 
*Explanation for 2013 data adjustment: Column C was wrong. It appears to have included Column B counts. Colums I - Q were just simply incorrect. 
*Explanation for 2014 data adjustment: Rows I and J were flipped around. Colums L - Q were just simply incorrect. </t>
  </si>
  <si>
    <t>North Texas</t>
  </si>
  <si>
    <r>
      <rPr>
        <b/>
        <sz val="11"/>
        <color theme="1"/>
        <rFont val="Calibri"/>
        <family val="2"/>
        <scheme val="minor"/>
      </rPr>
      <t>5/21/18:</t>
    </r>
    <r>
      <rPr>
        <sz val="11"/>
        <color theme="1"/>
        <rFont val="Calibri"/>
        <family val="2"/>
        <scheme val="minor"/>
      </rPr>
      <t xml:space="preserve"> Correction made by program - Column O changed from 568 to 614.65 and Column Q changed from 302 to 312.</t>
    </r>
  </si>
  <si>
    <t>Oklahoma</t>
  </si>
  <si>
    <t xml:space="preserve">2015 data: note from program regarding FT Faculty (Column B): OU SLIS has not experienced a decrease in faculty members, rather we interpreted the ALISE directions to be the number of faculty members who teach ONLY in the ALA accredited program rather than “the number of full-time faculty with responsibility for teaching in ALA-accredited degree(s) only.” </t>
  </si>
  <si>
    <t>Old Dominion</t>
  </si>
  <si>
    <t>*The below formulas based on IPEDS definitions were used to get PT (FTE) Faculty, PT ALA (FTE) Masters Students, and Total FTE Enrollment.</t>
  </si>
  <si>
    <t>*PT (FTE) Faculty = FT Faculty + (1/3) * PT Faculty Count</t>
  </si>
  <si>
    <t>*PT ALA (FTE) Masters Students = PT ALA (headcount) Masters Students * 0.361702</t>
  </si>
  <si>
    <t xml:space="preserve"> Numbers for ALA Masters Students reflect the MLIS currently in candidacy with ALA.</t>
  </si>
  <si>
    <t>Ottawa</t>
  </si>
  <si>
    <t>Pittsburgh</t>
  </si>
  <si>
    <t>7/24/13: Verified 2012 PT (FTE) faculty with ALISE output and OA questionnaire submitted by program.</t>
  </si>
  <si>
    <t>2/14/18: Corrections made to 2016 #s - Cell G4 changed from 27 to 8; and Cell H4 changed from 11 to 3.</t>
  </si>
  <si>
    <t>11/27/18: Note on Column H:  Booth, He, &amp; Langmead not teaching MLIS courses Fall 2018</t>
  </si>
  <si>
    <t>11/27/18:  Note Row I, J, K:  New admissions paused for Fall Term 2018; new admissions begin for Fall Term 2019; number reflects continuing students</t>
  </si>
  <si>
    <t>Pratt</t>
  </si>
  <si>
    <t>2017: The basis for calculating Pratt’s expenditure has changed. Please see Correspondence Log for explanation.</t>
  </si>
  <si>
    <t>2018: The basis for calculating Pratt's expenditure changed in 2017. Please see Correspondence Log for explanation.</t>
  </si>
  <si>
    <t>Puerto Rico</t>
  </si>
  <si>
    <t xml:space="preserve">  834,684
 </t>
  </si>
  <si>
    <t xml:space="preserve">Queens </t>
  </si>
  <si>
    <t>2011 Notes: 2011 numbers for FT ALA Masters Students, PT ALA head count, and PT FTE are significantly lower than 2010, but have been confirmed by program. Note about income vs. expenditures on ALISE Questionnaire: Covered by College administration.</t>
  </si>
  <si>
    <t>Note on ALISE survey (2010-2013) for expenditure and income discrepancy: "College covered."</t>
  </si>
  <si>
    <t>The Total ALA Masters Degree Awarded in 2016 is just about 67% of 2015, which was just 64% of 2014. It is because in 2012 we only received conditional accreditation from ALA, then another conditional, then there was a crisis of the possibility of losing accreditation.  Students enrollment dropped tremendously, and at the same time students rushed to graduate, until we received full accreditation status again in 2015.</t>
  </si>
  <si>
    <t>Rhode Island</t>
  </si>
  <si>
    <t>Rutgers</t>
  </si>
  <si>
    <t>11/29/17: Data for 2014 and 2015 were corrected.</t>
  </si>
  <si>
    <t>San Jose State</t>
  </si>
  <si>
    <t>2010 Note: PT FTE calculated incorrectly in earlier reports.</t>
  </si>
  <si>
    <t>Simmons</t>
  </si>
  <si>
    <r>
      <t xml:space="preserve">2010 Notes: </t>
    </r>
    <r>
      <rPr>
        <sz val="11"/>
        <color theme="1"/>
        <rFont val="Calibri"/>
        <family val="2"/>
        <scheme val="minor"/>
      </rPr>
      <t>At Simmons, FTE at the graduate level is calculated as total number of registered credits divided by 10.  In 2009, we reported FTE based on 9 + credits, which GSLIS considers a full-time course load. In 2009, we omitted students enrolled in our dual-degree Children's Literature/LIS program because these students are not counted in our numbers where revenue is concerned.  After consulting with the Office of the Registrar, we are now counting dual degree students in our numbers since GSLIS awards a "Master of Science" degree to these students.</t>
    </r>
  </si>
  <si>
    <t>2017 Notes: Starting in Fall 2017 there was a college re-design and 2 faculty moved to a different division.  We currently have several faculty searches underway.</t>
  </si>
  <si>
    <t xml:space="preserve">2018 Notes:  the decrease in "income all other" in FY18 reflects the release of gift revenue  that existed in fund balances in FY16 and FY17.  </t>
  </si>
  <si>
    <t>2019 Notes:</t>
  </si>
  <si>
    <t>The decrease in "Total Expenditure" and increase in "Income Total" are largely due to the budget model for SLIS catching up with, and taking advantage of, the Simmons University redesign. Income Parent Institution are the FY19 budgeted expenses.</t>
  </si>
  <si>
    <t>South Carolina</t>
  </si>
  <si>
    <t>South Florida</t>
  </si>
  <si>
    <t>2016: Total FTE Entrollment-FT Faculty Ratio: This higher due to the new Health Sciences undergraduate degree that has become part of our school.</t>
  </si>
  <si>
    <t>2016:  Total FTE Enrollment-FTE Faculty Ratio: Faculty for the new undergraduate Health Sciences degree are distributed throughout the university even though the students' academic home is in the School of Information.</t>
  </si>
  <si>
    <t>2016:  Total FTE Enrollment (entire school all programs): The increase is due to the number of new majors credited to the School of Information, even though faculty members are distributed throughout the university.</t>
  </si>
  <si>
    <t>2016: Other Degrees Awarded: This number is lower that would be expected because the Health Sciences undergraduate program just became part of the School of Information in fall 2016. No graduates from this program have been credited to the School of Information from this major yet.</t>
  </si>
  <si>
    <t>2017: Column K - This is only the number of students enrolled in one or more courses in Fall 2017. There are roughly 52 additional students who are active but did not enroll that semester so we have 286 total active students ( unduplicated student head count).</t>
  </si>
  <si>
    <t>2020: ODS reported an error in how number of minority students enrolled had been reported. Affects Column N for 2016-2020.</t>
  </si>
  <si>
    <t xml:space="preserve">2021: Grant information had been omitted inadvertently from cell V4. </t>
  </si>
  <si>
    <t>2022: Column V reflects Grant income only and varies depending on the number of awards, as was the case in cell V3.</t>
  </si>
  <si>
    <t>Southern California</t>
  </si>
  <si>
    <t>*2022 data note: FT faculty (column B) Christopher Stewart, former director and FT faculty, left the program in summer 2022 and was not included in this number. "Parent Insitution Income" includes tuition and fees, and endowments/gifts/trust funds. In past years, "Income All Other" included funds from our third-party vendor, Pearson. Contract ended FY22.
*2019-2022 data notes: Previously included gift income in "Income All Other" column. Corrected to include in "Income Parent Institution."
*2021 data note: Previous report erroneously excluded external income from Pearson for USC course delivery. Expenditure to new partner was also exlcuded. They have now been corrected.
*2020 data note: University changed its accounting method for summer tuition. Previously submitted data erroneously excluded summer 1 2020. Additionally, gift income in the amount of faculty pay was erroneously omitted. They have both now been corrected.
*2019 data note: University taxes and payments to university partners were erroneoulsy excluded from program expenses. This has been corrected. 
2018 data note: FT faculty (column B) includes the program director. One FT faculty position has been vacant since 10/1/18, and will be filled in 2019.
*2/14/18 - The following data for past years was updated:
*2016: Q changed from 0 to 17; R changed from 17 to 0
*2015: I changed from 0 to 46; J changed from 0 to 5; L changed from 0 to 2.75; N changed from 0 to 23; Q changed from 0 to 18; R changed from 18 to 0
*2014: I changed from 35 to 33; J changed from 0 to 2; L changed from 0 to 1.25</t>
  </si>
  <si>
    <t xml:space="preserve">Southern Connecticut State </t>
  </si>
  <si>
    <t xml:space="preserve"> Total FTE Enrollment (ILS Dept Only)</t>
  </si>
  <si>
    <t>2016: Column O includes only the ILS Department figure, per revision request from ALA office 5/10/2017.</t>
  </si>
  <si>
    <t>Southern Mississippi</t>
  </si>
  <si>
    <t>St. Catherine</t>
  </si>
  <si>
    <t>2022 note regarding column G: 4 faculty taught part of their teaching load in the undergraduate general education core</t>
  </si>
  <si>
    <t xml:space="preserve">2019 note regarding column G: 4 faculty continue to teach part of their teaching load in the undergraduate general education core. </t>
  </si>
  <si>
    <t xml:space="preserve">2018 note regarding column G: As of the 2018-2019 academic year, three faculty and the program head now teach part of their teaching load in the undergraduate general education core. </t>
  </si>
  <si>
    <r>
      <t xml:space="preserve">2011-2014 </t>
    </r>
    <r>
      <rPr>
        <sz val="11"/>
        <rFont val="Calibri"/>
        <family val="2"/>
        <scheme val="minor"/>
      </rPr>
      <t>Note:</t>
    </r>
    <r>
      <rPr>
        <sz val="11"/>
        <color theme="1"/>
        <rFont val="Calibri"/>
        <family val="2"/>
        <scheme val="minor"/>
      </rPr>
      <t xml:space="preserve"> program note on questionnaire regarding deficit:  University covers deficit.</t>
    </r>
  </si>
  <si>
    <r>
      <t>2009 Note:</t>
    </r>
    <r>
      <rPr>
        <sz val="11"/>
        <color theme="1"/>
        <rFont val="Calibri"/>
        <family val="2"/>
        <scheme val="minor"/>
      </rPr>
      <t xml:space="preserve"> Included in the student totals, one Dominican University student completed the degree in December, 2009.  There are 8 remaining Dominican students in the program. </t>
    </r>
  </si>
  <si>
    <t>St. John's</t>
  </si>
  <si>
    <t>Syracuse</t>
  </si>
  <si>
    <t>Tennessee</t>
  </si>
  <si>
    <t xml:space="preserve">2/26/18: The program submitted the following corrections to the 2008-2016 data:     
2012: Other Degrees Awarded (Column R) was changed from '14' to '4'      
2008-2016: Values for expenditures (Column S) and income columns (U and V) were corrected    
2010-2016: Values for PT (FTE) Faculty were corrected (Columns C and H) </t>
  </si>
  <si>
    <t>Texas - Austin</t>
  </si>
  <si>
    <t>2020 note regarding Parent Institution Income vs Other Income: We previously reported income from grants, contracts, and endowments in the Other category, but are now reporting it in the Parent Instution category, per the instructions.</t>
  </si>
  <si>
    <t>Texas Woman's</t>
  </si>
  <si>
    <t>2016: Explanation for expenditures greater than income: The carryover from program fees, along with carryover from federal grants, covers the overage.</t>
  </si>
  <si>
    <t xml:space="preserve">2019: Explanation for expenditures greater than income: The carryover from program fees and federal grants covers the overage. Income Parent Institution reported is from the Parent Institution only. Income from all other sources is under Income All Other. </t>
  </si>
  <si>
    <r>
      <t xml:space="preserve">2019: Explanation for enrollment increase: TWU SLIS requested and was approved at the end of Spring 2019 of </t>
    </r>
    <r>
      <rPr>
        <b/>
        <u/>
        <sz val="11"/>
        <color theme="1"/>
        <rFont val="Calibri"/>
        <family val="2"/>
        <scheme val="minor"/>
      </rPr>
      <t>two new regular full-time faculty lines</t>
    </r>
    <r>
      <rPr>
        <sz val="11"/>
        <color theme="1"/>
        <rFont val="Calibri"/>
        <family val="2"/>
        <scheme val="minor"/>
      </rPr>
      <t xml:space="preserve"> to accommodate the enrollment increase. When the faculty searches for these new lines are complete (expected in Spring 2020), SLIS will have a total of 15 regular full-time faculty lines. The university has made a commitment to invest in SLIS faculty resources so that SLIS will continue to contribute significantly to the university strategic goal in enrollment growth, while maintaining high quality student faculty interactions.</t>
    </r>
  </si>
  <si>
    <t xml:space="preserve">2020: Explanation for expenditures greater than income: The carryover from program fees and federal grants covers the overage. Income Parent Institution reported includes all income for this reporting period. SLIS did not have other sources of income for this reporting period.  </t>
  </si>
  <si>
    <t>Toronto</t>
  </si>
  <si>
    <t>University College London</t>
  </si>
  <si>
    <t>$3,119,08</t>
  </si>
  <si>
    <t>$2,878,945</t>
  </si>
  <si>
    <t>$2,933,701</t>
  </si>
  <si>
    <t>2017 Note: The UCL financial model is that each department is a cost centre with its own annual budget covering all the department’s activities. In the context of the COA 2017 Trend Summary data spreadsheet, program has interpreted ‘Income from the Parent Institution’ to mean tuition fee income. Students pay UCL centrally and the Department’s budget is then credited with the fee income for the students it teaches.</t>
  </si>
  <si>
    <t xml:space="preserve">2018 Note: Program has followed the same approach as in 2017 for the financial entries. There is a large difference in G4 / G3 and H3 / H4 because beginning with 2018 data, the program is now including the core LIS team and the faculty academic staff who teach options/electives open to LIS students and who support their dissertation work (G3) and in H3 program includes mostly library but also other support staff who contribute to teaching, each counted as 0.5 (headcount here would be 10). </t>
  </si>
  <si>
    <t>2019 Note: as above in 2018</t>
  </si>
  <si>
    <t>2020 Note: Currency based on xe.com dated 08/02/2021</t>
  </si>
  <si>
    <t>Valdosta State</t>
  </si>
  <si>
    <t>Washington</t>
  </si>
  <si>
    <t xml:space="preserve">Dec. 2011: Program note on questionnaire regarding deficit: "The expenditures are greater than income due to the timing difference between grant awards and expenditures.  Large awards received in the previous two fiscal years had carryover balances that were spent in the current reporting fiscal year." </t>
  </si>
  <si>
    <t>11/30/17: Updated 2012 data for columns I, J, and O</t>
  </si>
  <si>
    <t>11/21/2018: Income All Other is significantly higher due to a $15M gift received by one of our research groups.</t>
  </si>
  <si>
    <t>2/12/2021: Cell O3 is dramatically lower than Cell O4 because the latter included Informatics Minors in the calculation.</t>
  </si>
  <si>
    <t>Wayne State</t>
  </si>
  <si>
    <t>Western Ontario</t>
  </si>
  <si>
    <t>Wisconsin - Madison</t>
  </si>
  <si>
    <t>2018 Note: Corrected FT faculty for 2015 (column B) to 13 from 6.</t>
  </si>
  <si>
    <t>Wisconsin - Milwaukee</t>
  </si>
  <si>
    <t xml:space="preserve">2001/02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</si>
</sst>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quot;$&quot;#,##0"/>
    <numFmt numFmtId="166" formatCode="&quot;$&quot;#,##0;[Red]&quot;$&quot;#,##0"/>
    <numFmt numFmtId="167" formatCode="0.0"/>
    <numFmt numFmtId="168" formatCode="#,##0;[Red]#,##0"/>
    <numFmt numFmtId="169" formatCode="0.0%"/>
    <numFmt numFmtId="170" formatCode="_(&quot;$&quot;* #,##0_);_(&quot;$&quot;* \(#,##0\);_(&quot;$&quot;* &quot;-&quot;??_);_(@_)"/>
    <numFmt numFmtId="171" formatCode="\$#,##0"/>
    <numFmt numFmtId="172" formatCode="[$USD]\ #,##0"/>
    <numFmt numFmtId="173" formatCode="_-[$$-409]* #,##0.00_ ;_-[$$-409]* \-#,##0.00\ ;_-[$$-409]* &quot;-&quot;??_ ;_-@_ "/>
    <numFmt numFmtId="174" formatCode="[$$-409]#,##0.00"/>
  </numFmts>
  <fonts count="36">
    <font>
      <sz val="11"/>
      <color theme="1"/>
      <name val="Calibri"/>
      <family val="2"/>
      <scheme val="minor"/>
    </font>
    <font>
      <sz val="11"/>
      <color theme="1"/>
      <name val="Calibri"/>
      <family val="2"/>
    </font>
    <font>
      <sz val="11"/>
      <color theme="1"/>
      <name val="Calibri"/>
      <family val="2"/>
      <scheme val="minor"/>
    </font>
    <font>
      <u/>
      <sz val="11"/>
      <color theme="10"/>
      <name val="Calibri"/>
      <family val="2"/>
      <scheme val="minor"/>
    </font>
    <font>
      <b/>
      <sz val="14"/>
      <color theme="0"/>
      <name val="Calibri"/>
      <family val="2"/>
      <scheme val="minor"/>
    </font>
    <font>
      <b/>
      <sz val="11"/>
      <name val="Calibri"/>
      <family val="2"/>
      <scheme val="minor"/>
    </font>
    <font>
      <u/>
      <sz val="11"/>
      <color theme="11"/>
      <name val="Calibri"/>
      <family val="2"/>
      <scheme val="minor"/>
    </font>
    <font>
      <sz val="10"/>
      <name val="Arial"/>
      <family val="2"/>
    </font>
    <font>
      <b/>
      <sz val="10"/>
      <name val="Arial"/>
      <family val="2"/>
    </font>
    <font>
      <b/>
      <sz val="8"/>
      <color indexed="81"/>
      <name val="Tahoma"/>
      <family val="2"/>
    </font>
    <font>
      <sz val="8"/>
      <color indexed="81"/>
      <name val="Tahoma"/>
      <family val="2"/>
    </font>
    <font>
      <sz val="11"/>
      <color rgb="FF000000"/>
      <name val="Calibri"/>
      <family val="2"/>
      <scheme val="minor"/>
    </font>
    <font>
      <sz val="10"/>
      <color theme="1"/>
      <name val="Calibri"/>
      <family val="2"/>
      <scheme val="minor"/>
    </font>
    <font>
      <sz val="11"/>
      <name val="Calibri"/>
      <family val="2"/>
      <scheme val="minor"/>
    </font>
    <font>
      <b/>
      <sz val="14"/>
      <color rgb="FFFFFFFF"/>
      <name val="Calibri"/>
      <family val="2"/>
    </font>
    <font>
      <b/>
      <sz val="11"/>
      <name val="Calibri"/>
      <family val="2"/>
    </font>
    <font>
      <sz val="11"/>
      <color rgb="FF000000"/>
      <name val="Calibri"/>
      <family val="2"/>
    </font>
    <font>
      <b/>
      <sz val="9"/>
      <color indexed="81"/>
      <name val="Tahoma"/>
      <family val="2"/>
    </font>
    <font>
      <sz val="9"/>
      <color indexed="81"/>
      <name val="Tahoma"/>
      <family val="2"/>
    </font>
    <font>
      <b/>
      <sz val="8"/>
      <color rgb="FF000000"/>
      <name val="Tahoma"/>
      <family val="2"/>
    </font>
    <font>
      <sz val="8"/>
      <color rgb="FF000000"/>
      <name val="Tahoma"/>
      <family val="2"/>
    </font>
    <font>
      <sz val="11"/>
      <name val="Calibri"/>
      <family val="2"/>
    </font>
    <font>
      <sz val="11"/>
      <color rgb="FF222222"/>
      <name val="Calibri"/>
      <family val="2"/>
      <scheme val="minor"/>
    </font>
    <font>
      <b/>
      <sz val="11"/>
      <color theme="1"/>
      <name val="Calibri"/>
      <family val="2"/>
      <scheme val="minor"/>
    </font>
    <font>
      <b/>
      <u/>
      <sz val="11"/>
      <color theme="1"/>
      <name val="Calibri"/>
      <family val="2"/>
      <scheme val="minor"/>
    </font>
    <font>
      <i/>
      <sz val="11"/>
      <color rgb="FF7F7F7F"/>
      <name val="Calibri"/>
      <family val="2"/>
      <scheme val="minor"/>
    </font>
    <font>
      <sz val="10"/>
      <name val="Calibri"/>
      <family val="2"/>
      <scheme val="minor"/>
    </font>
    <font>
      <sz val="11"/>
      <color rgb="FF444444"/>
      <name val="Calibri"/>
      <family val="2"/>
      <charset val="1"/>
    </font>
    <font>
      <sz val="12"/>
      <color theme="1"/>
      <name val="Calibri"/>
      <family val="2"/>
      <scheme val="minor"/>
    </font>
    <font>
      <sz val="11"/>
      <color theme="1"/>
      <name val="Calibri Light"/>
      <family val="2"/>
    </font>
    <font>
      <b/>
      <sz val="11"/>
      <color rgb="FFFF0000"/>
      <name val="Calibri (Body)"/>
    </font>
    <font>
      <sz val="12"/>
      <color theme="1"/>
      <name val="Calibri (Body)"/>
    </font>
    <font>
      <b/>
      <sz val="12"/>
      <color rgb="FFFF0000"/>
      <name val="Calibri"/>
      <family val="2"/>
      <scheme val="minor"/>
    </font>
    <font>
      <sz val="10"/>
      <color rgb="FF000000"/>
      <name val="Arial"/>
    </font>
    <font>
      <sz val="11"/>
      <color theme="9"/>
      <name val="Calibri"/>
      <family val="2"/>
      <scheme val="minor"/>
    </font>
    <font>
      <sz val="10"/>
      <color theme="1"/>
      <name val="Arial"/>
      <family val="2"/>
    </font>
  </fonts>
  <fills count="24">
    <fill>
      <patternFill patternType="none"/>
    </fill>
    <fill>
      <patternFill patternType="gray125"/>
    </fill>
    <fill>
      <patternFill patternType="solid">
        <fgColor theme="0" tint="-4.9989318521683403E-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14999847407452621"/>
        <bgColor rgb="FF000000"/>
      </patternFill>
    </fill>
    <fill>
      <patternFill patternType="solid">
        <fgColor rgb="FF366092"/>
        <bgColor rgb="FF366092"/>
      </patternFill>
    </fill>
    <fill>
      <patternFill patternType="solid">
        <fgColor rgb="FFD8D8D8"/>
        <bgColor rgb="FFD8D8D8"/>
      </patternFill>
    </fill>
    <fill>
      <patternFill patternType="solid">
        <fgColor rgb="FF2F5496"/>
        <bgColor rgb="FF2F5496"/>
      </patternFill>
    </fill>
    <fill>
      <patternFill patternType="solid">
        <fgColor theme="6" tint="0.59999389629810485"/>
        <bgColor indexed="64"/>
      </patternFill>
    </fill>
    <fill>
      <patternFill patternType="solid">
        <fgColor theme="0"/>
        <bgColor indexed="64"/>
      </patternFill>
    </fill>
    <fill>
      <patternFill patternType="solid">
        <fgColor theme="2"/>
        <bgColor indexed="64"/>
      </patternFill>
    </fill>
    <fill>
      <patternFill patternType="solid">
        <fgColor theme="2" tint="-9.9948118533890809E-2"/>
        <bgColor indexed="64"/>
      </patternFill>
    </fill>
    <fill>
      <patternFill patternType="solid">
        <fgColor rgb="FFD9D9D9"/>
        <bgColor rgb="FFD8D8D8"/>
      </patternFill>
    </fill>
    <fill>
      <patternFill patternType="solid">
        <fgColor theme="2" tint="-9.9978637043366805E-2"/>
        <bgColor indexed="64"/>
      </patternFill>
    </fill>
    <fill>
      <patternFill patternType="solid">
        <fgColor theme="0"/>
        <bgColor rgb="FFD8D8D8"/>
      </patternFill>
    </fill>
    <fill>
      <patternFill patternType="solid">
        <fgColor rgb="FFD0CECE"/>
        <bgColor indexed="64"/>
      </patternFill>
    </fill>
    <fill>
      <patternFill patternType="solid">
        <fgColor rgb="FFD9D9D9"/>
        <bgColor indexed="64"/>
      </patternFill>
    </fill>
    <fill>
      <patternFill patternType="solid">
        <fgColor rgb="FFFFFFFF"/>
        <bgColor indexed="64"/>
      </patternFill>
    </fill>
    <fill>
      <patternFill patternType="solid">
        <fgColor theme="0" tint="-0.14999847407452621"/>
        <bgColor rgb="FFD8D8D8"/>
      </patternFill>
    </fill>
    <fill>
      <patternFill patternType="solid">
        <fgColor rgb="FFD9D9D9"/>
        <bgColor rgb="FF000000"/>
      </patternFill>
    </fill>
    <fill>
      <patternFill patternType="solid">
        <fgColor rgb="FFFFFF00"/>
        <bgColor indexed="64"/>
      </patternFill>
    </fill>
    <fill>
      <patternFill patternType="solid">
        <fgColor rgb="FFD0CECE"/>
        <bgColor rgb="FF000000"/>
      </patternFill>
    </fill>
  </fills>
  <borders count="20">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diagonalUp="1" diagonalDown="1">
      <left style="thin">
        <color auto="1"/>
      </left>
      <right style="thin">
        <color auto="1"/>
      </right>
      <top style="thin">
        <color auto="1"/>
      </top>
      <bottom style="thin">
        <color auto="1"/>
      </bottom>
      <diagonal style="thin">
        <color auto="1"/>
      </diagonal>
    </border>
    <border diagonalUp="1" diagonalDown="1">
      <left style="thin">
        <color auto="1"/>
      </left>
      <right style="thin">
        <color auto="1"/>
      </right>
      <top/>
      <bottom style="thin">
        <color auto="1"/>
      </bottom>
      <diagonal style="thin">
        <color auto="1"/>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rgb="FF000000"/>
      </diagonal>
    </border>
    <border diagonalUp="1" diagonalDown="1">
      <left style="thin">
        <color auto="1"/>
      </left>
      <right style="thin">
        <color auto="1"/>
      </right>
      <top style="thin">
        <color auto="1"/>
      </top>
      <bottom/>
      <diagonal style="thin">
        <color auto="1"/>
      </diagonal>
    </border>
    <border>
      <left style="thin">
        <color rgb="FF000000"/>
      </left>
      <right style="thin">
        <color rgb="FF000000"/>
      </right>
      <top style="thin">
        <color rgb="FF000000"/>
      </top>
      <bottom/>
      <diagonal/>
    </border>
    <border>
      <left style="thin">
        <color auto="1"/>
      </left>
      <right style="thin">
        <color auto="1"/>
      </right>
      <top/>
      <bottom/>
      <diagonal/>
    </border>
    <border>
      <left/>
      <right style="thin">
        <color auto="1"/>
      </right>
      <top style="thin">
        <color indexed="64"/>
      </top>
      <bottom/>
      <diagonal/>
    </border>
    <border>
      <left/>
      <right style="thin">
        <color indexed="64"/>
      </right>
      <top style="thin">
        <color rgb="FF000000"/>
      </top>
      <bottom style="thin">
        <color auto="1"/>
      </bottom>
      <diagonal/>
    </border>
    <border>
      <left style="thin">
        <color auto="1"/>
      </left>
      <right style="thin">
        <color indexed="64"/>
      </right>
      <top style="thin">
        <color rgb="FF000000"/>
      </top>
      <bottom style="thin">
        <color auto="1"/>
      </bottom>
      <diagonal/>
    </border>
    <border>
      <left/>
      <right/>
      <top/>
      <bottom style="thin">
        <color indexed="64"/>
      </bottom>
      <diagonal/>
    </border>
  </borders>
  <cellStyleXfs count="30">
    <xf numFmtId="0" fontId="0" fillId="0" borderId="0"/>
    <xf numFmtId="44" fontId="2" fillId="0" borderId="0" applyFont="0" applyFill="0" applyBorder="0" applyAlignment="0" applyProtection="0"/>
    <xf numFmtId="0" fontId="3"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2"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 fillId="0" borderId="0"/>
    <xf numFmtId="43" fontId="2" fillId="0" borderId="0" applyFont="0" applyFill="0" applyBorder="0" applyAlignment="0" applyProtection="0"/>
    <xf numFmtId="0" fontId="25" fillId="0" borderId="0" applyNumberFormat="0" applyFill="0" applyBorder="0" applyAlignment="0" applyProtection="0"/>
  </cellStyleXfs>
  <cellXfs count="582">
    <xf numFmtId="0" fontId="0" fillId="0" borderId="0" xfId="0"/>
    <xf numFmtId="0" fontId="4" fillId="3" borderId="0" xfId="0" applyFont="1" applyFill="1"/>
    <xf numFmtId="0" fontId="4" fillId="3" borderId="0" xfId="0" applyFont="1" applyFill="1" applyAlignment="1">
      <alignment vertical="center"/>
    </xf>
    <xf numFmtId="0" fontId="5" fillId="4" borderId="0" xfId="0" applyFont="1" applyFill="1" applyAlignment="1">
      <alignment horizontal="center" vertical="center" wrapText="1"/>
    </xf>
    <xf numFmtId="0" fontId="0" fillId="0" borderId="0" xfId="0" applyAlignment="1">
      <alignment horizontal="left"/>
    </xf>
    <xf numFmtId="0" fontId="5" fillId="4" borderId="2" xfId="0" applyFont="1" applyFill="1" applyBorder="1" applyAlignment="1">
      <alignment horizontal="center" vertical="center" wrapText="1"/>
    </xf>
    <xf numFmtId="0" fontId="5" fillId="0" borderId="0" xfId="0" applyFont="1" applyAlignment="1">
      <alignment horizontal="center" vertical="center" wrapText="1"/>
    </xf>
    <xf numFmtId="0" fontId="4" fillId="0" borderId="0" xfId="0" applyFont="1"/>
    <xf numFmtId="41" fontId="13" fillId="0" borderId="2" xfId="0" applyNumberFormat="1" applyFont="1" applyBorder="1" applyAlignment="1">
      <alignment horizontal="center" vertical="center" wrapText="1"/>
    </xf>
    <xf numFmtId="0" fontId="13" fillId="0" borderId="0" xfId="0" applyFont="1" applyAlignment="1">
      <alignment horizontal="right" wrapText="1"/>
    </xf>
    <xf numFmtId="0" fontId="13" fillId="4" borderId="2" xfId="0" applyFont="1" applyFill="1" applyBorder="1" applyAlignment="1">
      <alignment horizontal="center" wrapText="1"/>
    </xf>
    <xf numFmtId="0" fontId="13" fillId="0" borderId="0" xfId="0" applyFont="1" applyAlignment="1">
      <alignment horizontal="center" wrapText="1"/>
    </xf>
    <xf numFmtId="0" fontId="0" fillId="0" borderId="0" xfId="0" applyProtection="1">
      <protection locked="0"/>
    </xf>
    <xf numFmtId="1" fontId="0" fillId="4" borderId="2" xfId="0" applyNumberFormat="1" applyFill="1" applyBorder="1" applyAlignment="1">
      <alignment horizontal="right" wrapText="1"/>
    </xf>
    <xf numFmtId="0" fontId="13" fillId="4" borderId="0" xfId="0" applyFont="1" applyFill="1" applyAlignment="1">
      <alignment horizontal="right" wrapText="1"/>
    </xf>
    <xf numFmtId="0" fontId="0" fillId="4" borderId="2" xfId="0" applyFill="1" applyBorder="1" applyAlignment="1">
      <alignment horizontal="center" wrapText="1"/>
    </xf>
    <xf numFmtId="0" fontId="0" fillId="0" borderId="0" xfId="0" applyAlignment="1">
      <alignment horizontal="right"/>
    </xf>
    <xf numFmtId="0" fontId="13" fillId="0" borderId="2" xfId="0" applyFont="1" applyBorder="1" applyAlignment="1" applyProtection="1">
      <alignment horizontal="right" wrapText="1"/>
      <protection locked="0"/>
    </xf>
    <xf numFmtId="6" fontId="13" fillId="0" borderId="2" xfId="0" applyNumberFormat="1" applyFont="1" applyBorder="1" applyAlignment="1" applyProtection="1">
      <alignment horizontal="right" wrapText="1"/>
      <protection locked="0"/>
    </xf>
    <xf numFmtId="0" fontId="13" fillId="4" borderId="2" xfId="0" applyFont="1" applyFill="1" applyBorder="1" applyAlignment="1">
      <alignment horizontal="right" wrapText="1"/>
    </xf>
    <xf numFmtId="165" fontId="13" fillId="0" borderId="2" xfId="0" applyNumberFormat="1" applyFont="1" applyBorder="1" applyAlignment="1" applyProtection="1">
      <alignment horizontal="right" wrapText="1"/>
      <protection locked="0"/>
    </xf>
    <xf numFmtId="0" fontId="5" fillId="4" borderId="2" xfId="0" applyFont="1" applyFill="1" applyBorder="1" applyAlignment="1">
      <alignment horizontal="center" wrapText="1"/>
    </xf>
    <xf numFmtId="0" fontId="5" fillId="0" borderId="2" xfId="0" applyFont="1" applyBorder="1" applyAlignment="1">
      <alignment horizontal="center" vertical="center" wrapText="1"/>
    </xf>
    <xf numFmtId="0" fontId="0" fillId="4" borderId="2" xfId="0" applyFill="1" applyBorder="1" applyAlignment="1">
      <alignment wrapText="1"/>
    </xf>
    <xf numFmtId="165" fontId="0" fillId="4" borderId="2" xfId="0" applyNumberFormat="1" applyFill="1" applyBorder="1" applyAlignment="1">
      <alignment wrapText="1"/>
    </xf>
    <xf numFmtId="0" fontId="0" fillId="0" borderId="2" xfId="0" applyBorder="1" applyAlignment="1" applyProtection="1">
      <alignment horizontal="right" wrapText="1"/>
      <protection locked="0"/>
    </xf>
    <xf numFmtId="41" fontId="13" fillId="4" borderId="2" xfId="0" applyNumberFormat="1" applyFont="1" applyFill="1" applyBorder="1" applyAlignment="1">
      <alignment horizontal="center" vertical="center" wrapText="1"/>
    </xf>
    <xf numFmtId="0" fontId="13" fillId="4" borderId="2" xfId="14" applyFont="1" applyFill="1" applyBorder="1" applyAlignment="1">
      <alignment horizontal="right" wrapText="1"/>
    </xf>
    <xf numFmtId="165" fontId="13" fillId="4" borderId="2" xfId="14" applyNumberFormat="1" applyFont="1" applyFill="1" applyBorder="1" applyAlignment="1">
      <alignment horizontal="right" wrapText="1"/>
    </xf>
    <xf numFmtId="1" fontId="13" fillId="4" borderId="2" xfId="14" applyNumberFormat="1" applyFont="1" applyFill="1" applyBorder="1" applyAlignment="1">
      <alignment horizontal="right" wrapText="1"/>
    </xf>
    <xf numFmtId="0" fontId="0" fillId="0" borderId="0" xfId="0" applyAlignment="1" applyProtection="1">
      <alignment horizontal="center"/>
      <protection locked="0"/>
    </xf>
    <xf numFmtId="0" fontId="8" fillId="0" borderId="1" xfId="0" applyFont="1" applyBorder="1" applyAlignment="1" applyProtection="1">
      <alignment wrapText="1"/>
      <protection locked="0"/>
    </xf>
    <xf numFmtId="0" fontId="14" fillId="7" borderId="0" xfId="0" applyFont="1" applyFill="1"/>
    <xf numFmtId="0" fontId="14" fillId="7" borderId="0" xfId="0" applyFont="1" applyFill="1" applyAlignment="1">
      <alignment vertical="center"/>
    </xf>
    <xf numFmtId="0" fontId="14" fillId="0" borderId="0" xfId="0" applyFont="1"/>
    <xf numFmtId="0" fontId="15" fillId="8" borderId="11" xfId="0" applyFont="1" applyFill="1" applyBorder="1" applyAlignment="1">
      <alignment horizontal="center" vertical="center" wrapText="1"/>
    </xf>
    <xf numFmtId="0" fontId="15" fillId="0" borderId="0" xfId="0" applyFont="1" applyAlignment="1">
      <alignment horizontal="center" vertical="center" wrapText="1"/>
    </xf>
    <xf numFmtId="0" fontId="0" fillId="8" borderId="11" xfId="0" applyFill="1" applyBorder="1" applyAlignment="1">
      <alignment horizontal="right" wrapText="1"/>
    </xf>
    <xf numFmtId="1" fontId="0" fillId="8" borderId="11" xfId="0" applyNumberFormat="1" applyFill="1" applyBorder="1" applyAlignment="1">
      <alignment horizontal="right" wrapText="1"/>
    </xf>
    <xf numFmtId="165" fontId="0" fillId="8" borderId="11" xfId="0" applyNumberFormat="1" applyFill="1" applyBorder="1" applyAlignment="1">
      <alignment horizontal="right" wrapText="1"/>
    </xf>
    <xf numFmtId="0" fontId="0" fillId="0" borderId="11" xfId="0" applyBorder="1" applyAlignment="1">
      <alignment horizontal="right" wrapText="1"/>
    </xf>
    <xf numFmtId="0" fontId="0" fillId="8" borderId="12" xfId="0" applyFill="1" applyBorder="1" applyAlignment="1">
      <alignment vertical="center" wrapText="1"/>
    </xf>
    <xf numFmtId="6" fontId="0" fillId="0" borderId="11" xfId="0" applyNumberFormat="1" applyBorder="1" applyAlignment="1">
      <alignment horizontal="right" wrapText="1"/>
    </xf>
    <xf numFmtId="6" fontId="0" fillId="8" borderId="11" xfId="0" applyNumberFormat="1" applyFill="1" applyBorder="1" applyAlignment="1">
      <alignment horizontal="right" wrapText="1"/>
    </xf>
    <xf numFmtId="5" fontId="0" fillId="0" borderId="11" xfId="0" applyNumberFormat="1" applyBorder="1" applyAlignment="1">
      <alignment horizontal="right" wrapText="1"/>
    </xf>
    <xf numFmtId="0" fontId="0" fillId="0" borderId="11" xfId="0" applyBorder="1" applyAlignment="1">
      <alignment wrapText="1"/>
    </xf>
    <xf numFmtId="0" fontId="0" fillId="8" borderId="11" xfId="0" applyFill="1" applyBorder="1" applyAlignment="1">
      <alignment wrapText="1"/>
    </xf>
    <xf numFmtId="1" fontId="0" fillId="8" borderId="11" xfId="0" applyNumberFormat="1" applyFill="1" applyBorder="1" applyAlignment="1">
      <alignment wrapText="1"/>
    </xf>
    <xf numFmtId="1" fontId="0" fillId="8" borderId="12" xfId="0" applyNumberFormat="1" applyFill="1" applyBorder="1" applyAlignment="1">
      <alignment wrapText="1"/>
    </xf>
    <xf numFmtId="5" fontId="0" fillId="0" borderId="11" xfId="0" applyNumberFormat="1" applyBorder="1" applyAlignment="1">
      <alignment wrapText="1"/>
    </xf>
    <xf numFmtId="165" fontId="0" fillId="8" borderId="11" xfId="0" applyNumberFormat="1" applyFill="1" applyBorder="1" applyAlignment="1">
      <alignment wrapText="1"/>
    </xf>
    <xf numFmtId="1" fontId="0" fillId="0" borderId="11" xfId="0" applyNumberFormat="1" applyBorder="1" applyAlignment="1">
      <alignment wrapText="1"/>
    </xf>
    <xf numFmtId="166" fontId="0" fillId="0" borderId="11" xfId="0" applyNumberFormat="1" applyBorder="1" applyAlignment="1">
      <alignment wrapText="1"/>
    </xf>
    <xf numFmtId="165" fontId="0" fillId="0" borderId="11" xfId="0" applyNumberFormat="1" applyBorder="1" applyAlignment="1">
      <alignment wrapText="1"/>
    </xf>
    <xf numFmtId="0" fontId="13" fillId="0" borderId="2" xfId="0" applyFont="1" applyBorder="1" applyAlignment="1">
      <alignment horizontal="right" wrapText="1"/>
    </xf>
    <xf numFmtId="165" fontId="13" fillId="0" borderId="2" xfId="0" applyNumberFormat="1" applyFont="1" applyBorder="1" applyAlignment="1">
      <alignment horizontal="right" wrapText="1"/>
    </xf>
    <xf numFmtId="9" fontId="0" fillId="4" borderId="2" xfId="3" applyFont="1" applyFill="1" applyBorder="1" applyAlignment="1" applyProtection="1">
      <alignment wrapText="1"/>
    </xf>
    <xf numFmtId="0" fontId="11" fillId="4" borderId="2" xfId="0" applyFont="1" applyFill="1" applyBorder="1" applyAlignment="1">
      <alignment horizontal="center" wrapText="1"/>
    </xf>
    <xf numFmtId="6" fontId="13" fillId="0" borderId="2" xfId="0" applyNumberFormat="1" applyFont="1" applyBorder="1" applyAlignment="1">
      <alignment horizontal="right" wrapText="1"/>
    </xf>
    <xf numFmtId="0" fontId="0" fillId="0" borderId="0" xfId="0" applyAlignment="1">
      <alignment wrapText="1"/>
    </xf>
    <xf numFmtId="0" fontId="0" fillId="0" borderId="0" xfId="0" applyAlignment="1" applyProtection="1">
      <alignment wrapText="1"/>
      <protection locked="0"/>
    </xf>
    <xf numFmtId="3" fontId="13" fillId="0" borderId="2" xfId="0" applyNumberFormat="1" applyFont="1" applyBorder="1" applyAlignment="1">
      <alignment horizontal="right" wrapText="1"/>
    </xf>
    <xf numFmtId="0" fontId="2" fillId="0" borderId="0" xfId="0" applyFont="1" applyProtection="1">
      <protection locked="0"/>
    </xf>
    <xf numFmtId="0" fontId="2" fillId="0" borderId="0" xfId="0" applyFont="1"/>
    <xf numFmtId="0" fontId="13" fillId="4" borderId="0" xfId="0" applyFont="1" applyFill="1" applyAlignment="1">
      <alignment horizontal="center" vertical="center" wrapText="1"/>
    </xf>
    <xf numFmtId="0" fontId="0" fillId="4" borderId="2" xfId="0" applyFill="1" applyBorder="1" applyAlignment="1">
      <alignment horizontal="right" wrapText="1"/>
    </xf>
    <xf numFmtId="0" fontId="13" fillId="0" borderId="2" xfId="0" applyFont="1" applyBorder="1" applyAlignment="1">
      <alignment horizontal="right" vertical="center" wrapText="1"/>
    </xf>
    <xf numFmtId="9" fontId="0" fillId="4" borderId="2" xfId="0" applyNumberFormat="1" applyFill="1" applyBorder="1" applyAlignment="1">
      <alignment horizontal="right" wrapText="1"/>
    </xf>
    <xf numFmtId="165" fontId="0" fillId="4" borderId="2" xfId="0" applyNumberFormat="1" applyFill="1" applyBorder="1" applyAlignment="1">
      <alignment horizontal="right" wrapText="1"/>
    </xf>
    <xf numFmtId="6" fontId="13" fillId="4" borderId="2" xfId="0" applyNumberFormat="1" applyFont="1" applyFill="1" applyBorder="1" applyAlignment="1">
      <alignment horizontal="right" wrapText="1"/>
    </xf>
    <xf numFmtId="0" fontId="0" fillId="0" borderId="2" xfId="0" applyBorder="1" applyAlignment="1">
      <alignment horizontal="right" wrapText="1"/>
    </xf>
    <xf numFmtId="5" fontId="0" fillId="0" borderId="2" xfId="0" applyNumberFormat="1" applyBorder="1" applyAlignment="1">
      <alignment horizontal="right" wrapText="1"/>
    </xf>
    <xf numFmtId="0" fontId="13" fillId="0" borderId="0" xfId="0" applyFont="1" applyAlignment="1">
      <alignment horizontal="center" vertical="center" wrapText="1"/>
    </xf>
    <xf numFmtId="0" fontId="0" fillId="0" borderId="2" xfId="0" applyBorder="1"/>
    <xf numFmtId="0" fontId="0" fillId="0" borderId="2" xfId="0" applyBorder="1" applyProtection="1">
      <protection locked="0"/>
    </xf>
    <xf numFmtId="0" fontId="0" fillId="4" borderId="7" xfId="0" applyFill="1" applyBorder="1" applyAlignment="1">
      <alignment horizontal="center" wrapText="1"/>
    </xf>
    <xf numFmtId="165" fontId="13" fillId="0" borderId="2" xfId="0" applyNumberFormat="1" applyFont="1" applyBorder="1" applyAlignment="1">
      <alignment wrapText="1"/>
    </xf>
    <xf numFmtId="0" fontId="5" fillId="0" borderId="0" xfId="0" applyFont="1" applyAlignment="1">
      <alignment horizontal="right" wrapText="1"/>
    </xf>
    <xf numFmtId="6" fontId="0" fillId="0" borderId="2" xfId="0" applyNumberFormat="1" applyBorder="1" applyAlignment="1">
      <alignment horizontal="right" wrapText="1"/>
    </xf>
    <xf numFmtId="6" fontId="0" fillId="4" borderId="2" xfId="0" applyNumberFormat="1" applyFill="1" applyBorder="1" applyAlignment="1">
      <alignment horizontal="right" wrapText="1"/>
    </xf>
    <xf numFmtId="0" fontId="13" fillId="0" borderId="0" xfId="0" applyFont="1" applyAlignment="1">
      <alignment horizontal="right" vertical="center" wrapText="1"/>
    </xf>
    <xf numFmtId="0" fontId="13" fillId="6" borderId="6" xfId="0" applyFont="1" applyFill="1" applyBorder="1" applyAlignment="1">
      <alignment horizontal="center" wrapText="1"/>
    </xf>
    <xf numFmtId="1" fontId="0" fillId="4" borderId="2" xfId="0" applyNumberFormat="1" applyFill="1" applyBorder="1" applyAlignment="1">
      <alignment wrapText="1"/>
    </xf>
    <xf numFmtId="0" fontId="0" fillId="4" borderId="9" xfId="0" applyFill="1" applyBorder="1" applyAlignment="1">
      <alignment vertical="center" wrapText="1"/>
    </xf>
    <xf numFmtId="5" fontId="0" fillId="0" borderId="2" xfId="0" applyNumberFormat="1" applyBorder="1" applyAlignment="1">
      <alignment wrapText="1"/>
    </xf>
    <xf numFmtId="1" fontId="0" fillId="4" borderId="9" xfId="0" applyNumberFormat="1" applyFill="1" applyBorder="1" applyAlignment="1">
      <alignment wrapText="1"/>
    </xf>
    <xf numFmtId="0" fontId="0" fillId="0" borderId="2" xfId="22" applyFont="1" applyBorder="1" applyAlignment="1">
      <alignment wrapText="1"/>
    </xf>
    <xf numFmtId="0" fontId="0" fillId="4" borderId="2" xfId="22" applyFont="1" applyFill="1" applyBorder="1" applyAlignment="1">
      <alignment wrapText="1"/>
    </xf>
    <xf numFmtId="1" fontId="0" fillId="4" borderId="2" xfId="22" applyNumberFormat="1" applyFont="1" applyFill="1" applyBorder="1" applyAlignment="1">
      <alignment wrapText="1"/>
    </xf>
    <xf numFmtId="0" fontId="13" fillId="4" borderId="2" xfId="0" applyFont="1" applyFill="1" applyBorder="1" applyAlignment="1">
      <alignment wrapText="1"/>
    </xf>
    <xf numFmtId="1" fontId="13" fillId="4" borderId="2" xfId="0" applyNumberFormat="1" applyFont="1" applyFill="1" applyBorder="1" applyAlignment="1">
      <alignment wrapText="1"/>
    </xf>
    <xf numFmtId="164" fontId="13" fillId="0" borderId="2" xfId="0" applyNumberFormat="1" applyFont="1" applyBorder="1" applyAlignment="1">
      <alignment wrapText="1"/>
    </xf>
    <xf numFmtId="165" fontId="13" fillId="4" borderId="2" xfId="0" applyNumberFormat="1" applyFont="1" applyFill="1" applyBorder="1" applyAlignment="1">
      <alignment wrapText="1"/>
    </xf>
    <xf numFmtId="0" fontId="13" fillId="0" borderId="0" xfId="0" applyFont="1"/>
    <xf numFmtId="0" fontId="5" fillId="4" borderId="4" xfId="0" applyFont="1" applyFill="1" applyBorder="1" applyAlignment="1">
      <alignment horizontal="center" vertical="center" wrapText="1"/>
    </xf>
    <xf numFmtId="0" fontId="0" fillId="0" borderId="0" xfId="22" applyFont="1"/>
    <xf numFmtId="165" fontId="13" fillId="0" borderId="4" xfId="0" applyNumberFormat="1" applyFont="1" applyBorder="1" applyAlignment="1">
      <alignment horizontal="right" wrapText="1"/>
    </xf>
    <xf numFmtId="6" fontId="13" fillId="0" borderId="4" xfId="0" applyNumberFormat="1" applyFont="1" applyBorder="1" applyAlignment="1">
      <alignment horizontal="right" wrapText="1"/>
    </xf>
    <xf numFmtId="5" fontId="0" fillId="0" borderId="4" xfId="0" applyNumberFormat="1" applyBorder="1" applyAlignment="1">
      <alignment wrapText="1"/>
    </xf>
    <xf numFmtId="165" fontId="13" fillId="0" borderId="4" xfId="0" applyNumberFormat="1" applyFont="1" applyBorder="1" applyAlignment="1">
      <alignment wrapText="1"/>
    </xf>
    <xf numFmtId="0" fontId="4" fillId="3" borderId="2" xfId="0" applyFont="1" applyFill="1" applyBorder="1"/>
    <xf numFmtId="0" fontId="0" fillId="0" borderId="0" xfId="0" applyAlignment="1">
      <alignment vertical="top"/>
    </xf>
    <xf numFmtId="5" fontId="13" fillId="0" borderId="2" xfId="1" applyNumberFormat="1" applyFont="1" applyFill="1" applyBorder="1" applyAlignment="1" applyProtection="1">
      <alignment horizontal="right" wrapText="1"/>
    </xf>
    <xf numFmtId="5" fontId="0" fillId="4" borderId="2" xfId="1" applyNumberFormat="1" applyFont="1" applyFill="1" applyBorder="1" applyAlignment="1" applyProtection="1">
      <alignment horizontal="right" wrapText="1"/>
    </xf>
    <xf numFmtId="2" fontId="13" fillId="4" borderId="2" xfId="14" applyNumberFormat="1" applyFont="1" applyFill="1" applyBorder="1" applyAlignment="1">
      <alignment horizontal="right"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right" vertical="center" wrapText="1"/>
    </xf>
    <xf numFmtId="0" fontId="0" fillId="4" borderId="2" xfId="0" applyFill="1" applyBorder="1" applyAlignment="1">
      <alignment horizontal="center" vertical="center" wrapText="1"/>
    </xf>
    <xf numFmtId="0" fontId="0" fillId="2" borderId="0" xfId="0" applyFill="1"/>
    <xf numFmtId="1" fontId="13" fillId="4" borderId="2" xfId="0" applyNumberFormat="1" applyFont="1" applyFill="1" applyBorder="1" applyAlignment="1">
      <alignment horizontal="right" wrapText="1"/>
    </xf>
    <xf numFmtId="5" fontId="13" fillId="0" borderId="2" xfId="0" applyNumberFormat="1" applyFont="1" applyBorder="1" applyAlignment="1">
      <alignment horizontal="right" wrapText="1"/>
    </xf>
    <xf numFmtId="165" fontId="13" fillId="4" borderId="2" xfId="0" applyNumberFormat="1" applyFont="1" applyFill="1" applyBorder="1" applyAlignment="1">
      <alignment horizontal="right" wrapText="1"/>
    </xf>
    <xf numFmtId="5" fontId="13" fillId="0" borderId="2" xfId="0" applyNumberFormat="1" applyFont="1" applyBorder="1" applyAlignment="1">
      <alignment wrapText="1"/>
    </xf>
    <xf numFmtId="0" fontId="13" fillId="6" borderId="2" xfId="0" applyFont="1" applyFill="1" applyBorder="1" applyAlignment="1">
      <alignment horizontal="center" wrapText="1"/>
    </xf>
    <xf numFmtId="5" fontId="13" fillId="4" borderId="2" xfId="1" applyNumberFormat="1" applyFont="1" applyFill="1" applyBorder="1" applyAlignment="1" applyProtection="1">
      <alignment horizontal="right" wrapText="1"/>
    </xf>
    <xf numFmtId="9" fontId="13" fillId="4" borderId="2" xfId="3" applyFont="1" applyFill="1" applyBorder="1" applyAlignment="1" applyProtection="1">
      <alignment horizontal="right" wrapText="1"/>
    </xf>
    <xf numFmtId="1" fontId="13" fillId="0" borderId="2" xfId="0" applyNumberFormat="1" applyFont="1" applyBorder="1" applyAlignment="1">
      <alignment horizontal="right" wrapText="1"/>
    </xf>
    <xf numFmtId="6" fontId="0" fillId="0" borderId="2" xfId="1" applyNumberFormat="1" applyFont="1" applyFill="1" applyBorder="1" applyAlignment="1" applyProtection="1">
      <alignment horizontal="right" wrapText="1"/>
    </xf>
    <xf numFmtId="6" fontId="0" fillId="0" borderId="2" xfId="1" applyNumberFormat="1" applyFont="1" applyFill="1" applyBorder="1" applyAlignment="1" applyProtection="1">
      <alignment wrapText="1"/>
    </xf>
    <xf numFmtId="0" fontId="0" fillId="4" borderId="2" xfId="0" applyFill="1" applyBorder="1" applyAlignment="1">
      <alignment vertical="center" wrapText="1"/>
    </xf>
    <xf numFmtId="2" fontId="0" fillId="4" borderId="2" xfId="0" applyNumberFormat="1" applyFill="1" applyBorder="1" applyAlignment="1">
      <alignment vertical="center" wrapText="1"/>
    </xf>
    <xf numFmtId="2" fontId="13" fillId="4" borderId="2" xfId="0" applyNumberFormat="1" applyFont="1" applyFill="1" applyBorder="1" applyAlignment="1">
      <alignment horizontal="right" wrapText="1"/>
    </xf>
    <xf numFmtId="0" fontId="0" fillId="0" borderId="2" xfId="0" applyBorder="1" applyAlignment="1">
      <alignment vertical="center" wrapText="1"/>
    </xf>
    <xf numFmtId="5" fontId="0" fillId="0" borderId="2" xfId="0" applyNumberFormat="1" applyBorder="1" applyAlignment="1" applyProtection="1">
      <alignment horizontal="right" wrapText="1"/>
      <protection locked="0"/>
    </xf>
    <xf numFmtId="2" fontId="0" fillId="4" borderId="2" xfId="0" applyNumberFormat="1" applyFill="1" applyBorder="1" applyAlignment="1">
      <alignment horizontal="right" wrapText="1"/>
    </xf>
    <xf numFmtId="1" fontId="0" fillId="0" borderId="2" xfId="0" applyNumberFormat="1" applyBorder="1" applyAlignment="1">
      <alignment horizontal="right" wrapText="1"/>
    </xf>
    <xf numFmtId="0" fontId="2" fillId="0" borderId="1" xfId="0" applyFont="1" applyBorder="1" applyProtection="1">
      <protection locked="0"/>
    </xf>
    <xf numFmtId="0" fontId="13" fillId="0" borderId="2" xfId="0" applyFont="1" applyBorder="1" applyAlignment="1">
      <alignment horizontal="right"/>
    </xf>
    <xf numFmtId="0" fontId="13" fillId="4" borderId="2" xfId="0" applyFont="1" applyFill="1" applyBorder="1" applyAlignment="1">
      <alignment horizontal="right"/>
    </xf>
    <xf numFmtId="49" fontId="0" fillId="0" borderId="0" xfId="0" applyNumberFormat="1" applyAlignment="1">
      <alignment horizontal="right" wrapText="1"/>
    </xf>
    <xf numFmtId="49" fontId="0" fillId="0" borderId="0" xfId="0" applyNumberFormat="1" applyAlignment="1">
      <alignment horizontal="right"/>
    </xf>
    <xf numFmtId="1" fontId="0" fillId="0" borderId="2" xfId="0" applyNumberFormat="1" applyBorder="1" applyAlignment="1">
      <alignment wrapText="1"/>
    </xf>
    <xf numFmtId="165" fontId="0" fillId="0" borderId="2" xfId="0" applyNumberFormat="1" applyBorder="1" applyAlignment="1">
      <alignment wrapText="1"/>
    </xf>
    <xf numFmtId="10" fontId="0" fillId="4" borderId="2" xfId="0" applyNumberFormat="1" applyFill="1" applyBorder="1" applyAlignment="1">
      <alignment wrapText="1"/>
    </xf>
    <xf numFmtId="10" fontId="0" fillId="4" borderId="2" xfId="0" applyNumberFormat="1" applyFill="1" applyBorder="1" applyAlignment="1">
      <alignment horizontal="right" wrapText="1"/>
    </xf>
    <xf numFmtId="10" fontId="13" fillId="4" borderId="2" xfId="14" applyNumberFormat="1" applyFont="1" applyFill="1" applyBorder="1" applyAlignment="1">
      <alignment horizontal="right" wrapText="1"/>
    </xf>
    <xf numFmtId="0" fontId="0" fillId="4" borderId="9" xfId="0" applyFill="1" applyBorder="1" applyAlignment="1">
      <alignment wrapText="1"/>
    </xf>
    <xf numFmtId="165" fontId="0" fillId="0" borderId="2" xfId="0" applyNumberFormat="1" applyBorder="1" applyAlignment="1">
      <alignment horizontal="right" wrapText="1"/>
    </xf>
    <xf numFmtId="1" fontId="0" fillId="4" borderId="2" xfId="0" applyNumberFormat="1" applyFill="1" applyBorder="1" applyAlignment="1">
      <alignment horizontal="right" vertical="center" wrapText="1"/>
    </xf>
    <xf numFmtId="0" fontId="0" fillId="0" borderId="2" xfId="0" applyBorder="1" applyAlignment="1">
      <alignment horizontal="right" vertical="center" wrapText="1"/>
    </xf>
    <xf numFmtId="0" fontId="0" fillId="4" borderId="2" xfId="0" applyFill="1" applyBorder="1" applyAlignment="1">
      <alignment horizontal="right" vertical="center" wrapText="1"/>
    </xf>
    <xf numFmtId="165" fontId="0" fillId="0" borderId="2" xfId="0" applyNumberFormat="1" applyBorder="1" applyAlignment="1">
      <alignment horizontal="right" vertical="center" wrapText="1"/>
    </xf>
    <xf numFmtId="165" fontId="0" fillId="4" borderId="2" xfId="0" applyNumberFormat="1" applyFill="1" applyBorder="1" applyAlignment="1">
      <alignment horizontal="right" vertical="center" wrapText="1"/>
    </xf>
    <xf numFmtId="1" fontId="0" fillId="4" borderId="2" xfId="0" applyNumberFormat="1" applyFill="1" applyBorder="1" applyAlignment="1">
      <alignment vertical="center" wrapText="1"/>
    </xf>
    <xf numFmtId="1" fontId="0" fillId="0" borderId="2" xfId="0" applyNumberFormat="1" applyBorder="1" applyAlignment="1">
      <alignment vertical="center" wrapText="1"/>
    </xf>
    <xf numFmtId="165" fontId="0" fillId="0" borderId="2" xfId="0" applyNumberFormat="1" applyBorder="1" applyAlignment="1">
      <alignment vertical="center" wrapText="1"/>
    </xf>
    <xf numFmtId="165" fontId="0" fillId="4" borderId="2" xfId="0" applyNumberFormat="1" applyFill="1" applyBorder="1" applyAlignment="1">
      <alignment vertical="center" wrapText="1"/>
    </xf>
    <xf numFmtId="2" fontId="0" fillId="0" borderId="2" xfId="0" applyNumberFormat="1" applyBorder="1" applyAlignment="1">
      <alignment wrapText="1"/>
    </xf>
    <xf numFmtId="166" fontId="0" fillId="0" borderId="2" xfId="0" applyNumberFormat="1" applyBorder="1" applyAlignment="1">
      <alignment wrapText="1"/>
    </xf>
    <xf numFmtId="0" fontId="0" fillId="2" borderId="0" xfId="0" applyFill="1" applyAlignment="1">
      <alignment horizontal="right"/>
    </xf>
    <xf numFmtId="49" fontId="13" fillId="4" borderId="2" xfId="0" applyNumberFormat="1" applyFont="1" applyFill="1" applyBorder="1" applyAlignment="1">
      <alignment horizontal="center" wrapText="1"/>
    </xf>
    <xf numFmtId="2" fontId="0" fillId="4" borderId="2" xfId="0" applyNumberFormat="1" applyFill="1" applyBorder="1" applyAlignment="1">
      <alignment wrapText="1"/>
    </xf>
    <xf numFmtId="2" fontId="13" fillId="4" borderId="2" xfId="0" applyNumberFormat="1" applyFont="1" applyFill="1" applyBorder="1" applyAlignment="1">
      <alignment wrapText="1"/>
    </xf>
    <xf numFmtId="0" fontId="0" fillId="4" borderId="0" xfId="0" applyFill="1"/>
    <xf numFmtId="167" fontId="0" fillId="4" borderId="2" xfId="0" applyNumberFormat="1" applyFill="1" applyBorder="1" applyAlignment="1">
      <alignment wrapText="1"/>
    </xf>
    <xf numFmtId="165" fontId="0" fillId="0" borderId="2" xfId="0" applyNumberFormat="1" applyBorder="1"/>
    <xf numFmtId="165" fontId="0" fillId="0" borderId="0" xfId="0" applyNumberFormat="1"/>
    <xf numFmtId="5" fontId="13" fillId="0" borderId="2" xfId="1" applyNumberFormat="1" applyFont="1" applyFill="1" applyBorder="1" applyProtection="1"/>
    <xf numFmtId="0" fontId="13" fillId="0" borderId="2" xfId="14" applyFont="1" applyBorder="1" applyAlignment="1">
      <alignment horizontal="right" wrapText="1"/>
    </xf>
    <xf numFmtId="0" fontId="13" fillId="0" borderId="2" xfId="14" applyFont="1" applyBorder="1" applyAlignment="1">
      <alignment wrapText="1"/>
    </xf>
    <xf numFmtId="0" fontId="13" fillId="4" borderId="2" xfId="14" applyFont="1" applyFill="1" applyBorder="1" applyAlignment="1">
      <alignment wrapText="1"/>
    </xf>
    <xf numFmtId="1" fontId="13" fillId="4" borderId="2" xfId="14" applyNumberFormat="1" applyFont="1" applyFill="1" applyBorder="1" applyAlignment="1">
      <alignment wrapText="1"/>
    </xf>
    <xf numFmtId="5" fontId="13" fillId="0" borderId="2" xfId="14" applyNumberFormat="1" applyFont="1" applyBorder="1" applyAlignment="1">
      <alignment wrapText="1"/>
    </xf>
    <xf numFmtId="165" fontId="13" fillId="4" borderId="2" xfId="14" applyNumberFormat="1" applyFont="1" applyFill="1" applyBorder="1" applyAlignment="1">
      <alignment wrapText="1"/>
    </xf>
    <xf numFmtId="0" fontId="13" fillId="0" borderId="0" xfId="14" applyFont="1"/>
    <xf numFmtId="165" fontId="13" fillId="0" borderId="2" xfId="14" applyNumberFormat="1" applyFont="1" applyBorder="1" applyAlignment="1">
      <alignment wrapText="1"/>
    </xf>
    <xf numFmtId="0" fontId="13" fillId="0" borderId="0" xfId="14" applyFont="1" applyAlignment="1">
      <alignment wrapText="1"/>
    </xf>
    <xf numFmtId="0" fontId="13" fillId="4" borderId="2" xfId="14" applyFont="1" applyFill="1" applyBorder="1" applyAlignment="1">
      <alignment horizontal="center" wrapText="1"/>
    </xf>
    <xf numFmtId="0" fontId="0" fillId="4" borderId="9" xfId="0" applyFill="1" applyBorder="1" applyAlignment="1">
      <alignment horizontal="right" wrapText="1"/>
    </xf>
    <xf numFmtId="0" fontId="13" fillId="0" borderId="2" xfId="0" applyFont="1" applyBorder="1"/>
    <xf numFmtId="6" fontId="0" fillId="4" borderId="2" xfId="0" applyNumberFormat="1" applyFill="1" applyBorder="1" applyAlignment="1">
      <alignment vertical="center" wrapText="1"/>
    </xf>
    <xf numFmtId="0" fontId="0" fillId="0" borderId="9" xfId="0" applyBorder="1" applyAlignment="1">
      <alignment vertical="center" wrapText="1"/>
    </xf>
    <xf numFmtId="6" fontId="0" fillId="0" borderId="2" xfId="0" applyNumberFormat="1" applyBorder="1" applyAlignment="1">
      <alignment vertical="center" wrapText="1"/>
    </xf>
    <xf numFmtId="0" fontId="21" fillId="4" borderId="2" xfId="0" applyFont="1" applyFill="1" applyBorder="1" applyAlignment="1">
      <alignment horizontal="center" wrapText="1"/>
    </xf>
    <xf numFmtId="0" fontId="21" fillId="4" borderId="2" xfId="14" applyFont="1" applyFill="1" applyBorder="1" applyAlignment="1">
      <alignment horizontal="right" wrapText="1"/>
    </xf>
    <xf numFmtId="1" fontId="21" fillId="4" borderId="2" xfId="14" applyNumberFormat="1" applyFont="1" applyFill="1" applyBorder="1" applyAlignment="1">
      <alignment horizontal="right" wrapText="1"/>
    </xf>
    <xf numFmtId="165" fontId="21" fillId="4" borderId="2" xfId="14" applyNumberFormat="1" applyFont="1" applyFill="1" applyBorder="1" applyAlignment="1">
      <alignment horizontal="right" wrapText="1"/>
    </xf>
    <xf numFmtId="10" fontId="21" fillId="4" borderId="2" xfId="14" applyNumberFormat="1" applyFont="1" applyFill="1" applyBorder="1" applyAlignment="1">
      <alignment horizontal="right" wrapText="1"/>
    </xf>
    <xf numFmtId="0" fontId="21" fillId="0" borderId="0" xfId="0" applyFont="1" applyAlignment="1">
      <alignment horizontal="right" wrapText="1"/>
    </xf>
    <xf numFmtId="6" fontId="0" fillId="0" borderId="2" xfId="0" applyNumberFormat="1" applyBorder="1" applyAlignment="1">
      <alignment wrapText="1"/>
    </xf>
    <xf numFmtId="0" fontId="0" fillId="4" borderId="6" xfId="0" applyFill="1" applyBorder="1" applyAlignment="1">
      <alignment wrapText="1"/>
    </xf>
    <xf numFmtId="1" fontId="0" fillId="4" borderId="6" xfId="0" applyNumberFormat="1" applyFill="1" applyBorder="1" applyAlignment="1">
      <alignment wrapText="1"/>
    </xf>
    <xf numFmtId="165" fontId="0" fillId="4" borderId="6" xfId="0" applyNumberFormat="1" applyFill="1" applyBorder="1" applyAlignment="1">
      <alignment wrapText="1"/>
    </xf>
    <xf numFmtId="0" fontId="0" fillId="0" borderId="6" xfId="0" applyBorder="1" applyAlignment="1">
      <alignment wrapText="1"/>
    </xf>
    <xf numFmtId="1" fontId="0" fillId="4" borderId="10" xfId="0" applyNumberFormat="1" applyFill="1" applyBorder="1" applyAlignment="1">
      <alignment wrapText="1"/>
    </xf>
    <xf numFmtId="5" fontId="0" fillId="0" borderId="6" xfId="0" applyNumberFormat="1" applyBorder="1" applyAlignment="1">
      <alignment wrapText="1"/>
    </xf>
    <xf numFmtId="0" fontId="0" fillId="4" borderId="6" xfId="0" applyFill="1" applyBorder="1" applyAlignment="1">
      <alignment horizontal="center" wrapText="1"/>
    </xf>
    <xf numFmtId="165" fontId="0" fillId="0" borderId="0" xfId="0" applyNumberFormat="1" applyAlignment="1">
      <alignment wrapText="1"/>
    </xf>
    <xf numFmtId="0" fontId="0" fillId="4" borderId="7" xfId="0" applyFill="1" applyBorder="1" applyAlignment="1">
      <alignment wrapText="1"/>
    </xf>
    <xf numFmtId="1" fontId="0" fillId="4" borderId="7" xfId="0" applyNumberFormat="1" applyFill="1" applyBorder="1" applyAlignment="1">
      <alignment wrapText="1"/>
    </xf>
    <xf numFmtId="1" fontId="0" fillId="4" borderId="13" xfId="0" applyNumberFormat="1" applyFill="1" applyBorder="1" applyAlignment="1">
      <alignment wrapText="1"/>
    </xf>
    <xf numFmtId="165" fontId="0" fillId="0" borderId="7" xfId="0" applyNumberFormat="1" applyBorder="1" applyAlignment="1">
      <alignment wrapText="1"/>
    </xf>
    <xf numFmtId="165" fontId="0" fillId="4" borderId="7" xfId="0" applyNumberFormat="1" applyFill="1" applyBorder="1" applyAlignment="1">
      <alignment wrapText="1"/>
    </xf>
    <xf numFmtId="5" fontId="0" fillId="0" borderId="2" xfId="0" applyNumberFormat="1" applyBorder="1" applyAlignment="1" applyProtection="1">
      <alignment wrapText="1"/>
      <protection locked="0"/>
    </xf>
    <xf numFmtId="2" fontId="13" fillId="0" borderId="2" xfId="0" applyNumberFormat="1" applyFont="1" applyBorder="1" applyAlignment="1">
      <alignment horizontal="right" wrapText="1"/>
    </xf>
    <xf numFmtId="0" fontId="13" fillId="0" borderId="3" xfId="0" applyFont="1" applyBorder="1" applyAlignment="1">
      <alignment wrapText="1"/>
    </xf>
    <xf numFmtId="2" fontId="13" fillId="0" borderId="3" xfId="0" applyNumberFormat="1" applyFont="1" applyBorder="1" applyAlignment="1">
      <alignment wrapText="1"/>
    </xf>
    <xf numFmtId="5" fontId="13" fillId="0" borderId="3" xfId="0" applyNumberFormat="1" applyFont="1" applyBorder="1" applyAlignment="1">
      <alignment wrapText="1"/>
    </xf>
    <xf numFmtId="6" fontId="13" fillId="0" borderId="0" xfId="0" applyNumberFormat="1" applyFont="1"/>
    <xf numFmtId="6" fontId="13" fillId="0" borderId="3" xfId="0" applyNumberFormat="1" applyFont="1" applyBorder="1" applyAlignment="1">
      <alignment wrapText="1"/>
    </xf>
    <xf numFmtId="165" fontId="13" fillId="0" borderId="5" xfId="0" applyNumberFormat="1" applyFont="1" applyBorder="1" applyAlignment="1">
      <alignment wrapText="1"/>
    </xf>
    <xf numFmtId="165" fontId="13" fillId="0" borderId="3" xfId="0" applyNumberFormat="1" applyFont="1" applyBorder="1" applyAlignment="1">
      <alignment wrapText="1"/>
    </xf>
    <xf numFmtId="0" fontId="0" fillId="4" borderId="2" xfId="22" applyFont="1" applyFill="1" applyBorder="1" applyAlignment="1">
      <alignment horizontal="center" wrapText="1"/>
    </xf>
    <xf numFmtId="166" fontId="0" fillId="4" borderId="2" xfId="0" applyNumberFormat="1" applyFill="1" applyBorder="1" applyAlignment="1">
      <alignment wrapText="1"/>
    </xf>
    <xf numFmtId="3" fontId="0" fillId="0" borderId="2" xfId="0" applyNumberFormat="1" applyBorder="1" applyAlignment="1">
      <alignment wrapText="1"/>
    </xf>
    <xf numFmtId="3" fontId="0" fillId="4" borderId="2" xfId="0" applyNumberFormat="1" applyFill="1" applyBorder="1" applyAlignment="1">
      <alignment wrapText="1"/>
    </xf>
    <xf numFmtId="0" fontId="11" fillId="4" borderId="2" xfId="0" applyFont="1" applyFill="1" applyBorder="1" applyAlignment="1">
      <alignment horizontal="center" vertical="center" wrapText="1"/>
    </xf>
    <xf numFmtId="0" fontId="13" fillId="0" borderId="11" xfId="0" applyFont="1" applyBorder="1" applyAlignment="1">
      <alignment horizontal="right" wrapText="1"/>
    </xf>
    <xf numFmtId="165" fontId="13" fillId="0" borderId="11" xfId="0" applyNumberFormat="1" applyFont="1" applyBorder="1" applyAlignment="1">
      <alignment horizontal="right" wrapText="1"/>
    </xf>
    <xf numFmtId="6" fontId="13" fillId="0" borderId="11" xfId="0" applyNumberFormat="1" applyFont="1" applyBorder="1" applyAlignment="1">
      <alignment horizontal="right" wrapText="1"/>
    </xf>
    <xf numFmtId="0" fontId="13" fillId="0" borderId="11" xfId="0" applyFont="1" applyBorder="1" applyAlignment="1">
      <alignment wrapText="1"/>
    </xf>
    <xf numFmtId="0" fontId="13" fillId="4" borderId="2" xfId="0" applyFont="1" applyFill="1" applyBorder="1" applyAlignment="1">
      <alignment horizontal="center"/>
    </xf>
    <xf numFmtId="0" fontId="13" fillId="8" borderId="11" xfId="0" applyFont="1" applyFill="1" applyBorder="1" applyAlignment="1">
      <alignment horizontal="center"/>
    </xf>
    <xf numFmtId="0" fontId="0" fillId="8" borderId="11" xfId="0" applyFill="1" applyBorder="1" applyAlignment="1">
      <alignment horizontal="center"/>
    </xf>
    <xf numFmtId="0" fontId="13" fillId="4" borderId="5" xfId="0" applyFont="1" applyFill="1" applyBorder="1" applyAlignment="1">
      <alignment wrapText="1"/>
    </xf>
    <xf numFmtId="1" fontId="13" fillId="4" borderId="5" xfId="0" applyNumberFormat="1" applyFont="1" applyFill="1" applyBorder="1" applyAlignment="1">
      <alignment wrapText="1"/>
    </xf>
    <xf numFmtId="5" fontId="13" fillId="0" borderId="5" xfId="0" applyNumberFormat="1" applyFont="1" applyBorder="1" applyAlignment="1">
      <alignment wrapText="1"/>
    </xf>
    <xf numFmtId="165" fontId="13" fillId="4" borderId="5" xfId="0" applyNumberFormat="1" applyFont="1" applyFill="1" applyBorder="1" applyAlignment="1">
      <alignment wrapText="1"/>
    </xf>
    <xf numFmtId="0" fontId="13" fillId="4" borderId="3" xfId="0" applyFont="1" applyFill="1" applyBorder="1" applyAlignment="1">
      <alignment wrapText="1"/>
    </xf>
    <xf numFmtId="1" fontId="13" fillId="4" borderId="3" xfId="0" applyNumberFormat="1" applyFont="1" applyFill="1" applyBorder="1" applyAlignment="1">
      <alignment wrapText="1"/>
    </xf>
    <xf numFmtId="165" fontId="13" fillId="4" borderId="3" xfId="0" applyNumberFormat="1" applyFont="1" applyFill="1" applyBorder="1" applyAlignment="1">
      <alignment wrapText="1"/>
    </xf>
    <xf numFmtId="0" fontId="0" fillId="4" borderId="2" xfId="0" applyFill="1" applyBorder="1" applyAlignment="1" applyProtection="1">
      <alignment horizontal="right" wrapText="1"/>
      <protection locked="0"/>
    </xf>
    <xf numFmtId="0" fontId="0" fillId="4" borderId="9" xfId="0" applyFill="1" applyBorder="1" applyAlignment="1" applyProtection="1">
      <alignment vertical="center" wrapText="1"/>
      <protection locked="0"/>
    </xf>
    <xf numFmtId="6" fontId="0" fillId="0" borderId="2" xfId="0" applyNumberFormat="1" applyBorder="1" applyAlignment="1" applyProtection="1">
      <alignment horizontal="right" wrapText="1"/>
      <protection locked="0"/>
    </xf>
    <xf numFmtId="6" fontId="0" fillId="4" borderId="2" xfId="0" applyNumberFormat="1" applyFill="1" applyBorder="1" applyAlignment="1" applyProtection="1">
      <alignment horizontal="right" wrapText="1"/>
      <protection locked="0"/>
    </xf>
    <xf numFmtId="0" fontId="0" fillId="0" borderId="0" xfId="0" applyAlignment="1" applyProtection="1">
      <alignment horizontal="right"/>
      <protection locked="0"/>
    </xf>
    <xf numFmtId="0" fontId="0" fillId="4" borderId="0" xfId="0" applyFill="1" applyAlignment="1" applyProtection="1">
      <alignment horizontal="right"/>
      <protection locked="0"/>
    </xf>
    <xf numFmtId="0" fontId="11" fillId="4" borderId="2" xfId="0" applyFont="1" applyFill="1" applyBorder="1" applyAlignment="1" applyProtection="1">
      <alignment horizontal="center" wrapText="1"/>
      <protection locked="0"/>
    </xf>
    <xf numFmtId="9" fontId="2" fillId="4" borderId="2" xfId="3" applyFont="1" applyFill="1" applyBorder="1" applyAlignment="1" applyProtection="1">
      <alignment horizontal="right" wrapText="1"/>
    </xf>
    <xf numFmtId="2" fontId="0" fillId="0" borderId="2" xfId="0" applyNumberFormat="1" applyBorder="1" applyAlignment="1">
      <alignment vertical="center" wrapText="1"/>
    </xf>
    <xf numFmtId="4" fontId="0" fillId="0" borderId="2" xfId="0" applyNumberFormat="1" applyBorder="1" applyAlignment="1">
      <alignment wrapText="1"/>
    </xf>
    <xf numFmtId="3" fontId="0" fillId="0" borderId="0" xfId="0" applyNumberFormat="1" applyProtection="1">
      <protection locked="0"/>
    </xf>
    <xf numFmtId="166" fontId="0" fillId="0" borderId="2" xfId="0" applyNumberFormat="1" applyBorder="1" applyAlignment="1" applyProtection="1">
      <alignment wrapText="1"/>
      <protection locked="0"/>
    </xf>
    <xf numFmtId="165" fontId="0" fillId="0" borderId="2" xfId="0" applyNumberFormat="1" applyBorder="1" applyAlignment="1" applyProtection="1">
      <alignment wrapText="1"/>
      <protection locked="0"/>
    </xf>
    <xf numFmtId="49" fontId="0" fillId="0" borderId="0" xfId="0" applyNumberFormat="1"/>
    <xf numFmtId="3" fontId="0" fillId="4" borderId="2" xfId="0" applyNumberFormat="1" applyFill="1" applyBorder="1" applyAlignment="1">
      <alignment horizontal="right" wrapText="1"/>
    </xf>
    <xf numFmtId="0" fontId="0" fillId="5" borderId="6" xfId="0" applyFill="1" applyBorder="1" applyAlignment="1">
      <alignment horizontal="center" wrapText="1"/>
    </xf>
    <xf numFmtId="0" fontId="0" fillId="5" borderId="6" xfId="0" applyFill="1" applyBorder="1" applyAlignment="1">
      <alignment wrapText="1"/>
    </xf>
    <xf numFmtId="2" fontId="0" fillId="0" borderId="6" xfId="0" applyNumberFormat="1" applyBorder="1" applyAlignment="1">
      <alignment wrapText="1"/>
    </xf>
    <xf numFmtId="0" fontId="0" fillId="5" borderId="6" xfId="0" applyFill="1" applyBorder="1"/>
    <xf numFmtId="165" fontId="0" fillId="5" borderId="6" xfId="0" applyNumberFormat="1" applyFill="1" applyBorder="1" applyAlignment="1">
      <alignment wrapText="1"/>
    </xf>
    <xf numFmtId="165" fontId="0" fillId="0" borderId="6" xfId="0" applyNumberFormat="1" applyBorder="1" applyAlignment="1">
      <alignment wrapText="1"/>
    </xf>
    <xf numFmtId="0" fontId="0" fillId="5" borderId="2" xfId="0" applyFill="1" applyBorder="1" applyAlignment="1">
      <alignment horizontal="center" wrapText="1"/>
    </xf>
    <xf numFmtId="0" fontId="0" fillId="5" borderId="2" xfId="0" applyFill="1" applyBorder="1" applyAlignment="1">
      <alignment wrapText="1"/>
    </xf>
    <xf numFmtId="0" fontId="0" fillId="5" borderId="2" xfId="0" applyFill="1" applyBorder="1"/>
    <xf numFmtId="165" fontId="0" fillId="5" borderId="2" xfId="0" applyNumberFormat="1" applyFill="1" applyBorder="1" applyAlignment="1">
      <alignment wrapText="1"/>
    </xf>
    <xf numFmtId="5" fontId="13" fillId="0" borderId="2" xfId="14" applyNumberFormat="1" applyFont="1" applyBorder="1" applyAlignment="1">
      <alignment horizontal="right" wrapText="1"/>
    </xf>
    <xf numFmtId="0" fontId="13" fillId="0" borderId="0" xfId="14" applyFont="1" applyAlignment="1">
      <alignment horizontal="right"/>
    </xf>
    <xf numFmtId="2" fontId="0" fillId="0" borderId="0" xfId="0" applyNumberFormat="1" applyAlignment="1">
      <alignment wrapText="1"/>
    </xf>
    <xf numFmtId="10" fontId="0" fillId="4" borderId="2" xfId="3" applyNumberFormat="1" applyFont="1" applyFill="1" applyBorder="1" applyAlignment="1" applyProtection="1">
      <alignment wrapText="1"/>
    </xf>
    <xf numFmtId="3" fontId="0" fillId="0" borderId="2" xfId="0" applyNumberFormat="1" applyBorder="1"/>
    <xf numFmtId="168" fontId="0" fillId="0" borderId="2" xfId="0" applyNumberFormat="1" applyBorder="1"/>
    <xf numFmtId="165" fontId="0" fillId="0" borderId="2" xfId="0" applyNumberFormat="1" applyBorder="1" applyAlignment="1" applyProtection="1">
      <alignment horizontal="right" wrapText="1"/>
      <protection locked="0"/>
    </xf>
    <xf numFmtId="0" fontId="13" fillId="0" borderId="2" xfId="0" applyFont="1" applyBorder="1" applyAlignment="1" applyProtection="1">
      <alignment horizontal="right" vertical="center" wrapText="1"/>
      <protection locked="0"/>
    </xf>
    <xf numFmtId="3" fontId="13" fillId="0" borderId="2" xfId="0" applyNumberFormat="1" applyFont="1" applyBorder="1" applyAlignment="1" applyProtection="1">
      <alignment horizontal="right" wrapText="1"/>
      <protection locked="0"/>
    </xf>
    <xf numFmtId="1" fontId="13" fillId="0" borderId="2" xfId="0" applyNumberFormat="1" applyFont="1" applyBorder="1" applyAlignment="1" applyProtection="1">
      <alignment horizontal="right" wrapText="1"/>
      <protection locked="0"/>
    </xf>
    <xf numFmtId="165" fontId="0" fillId="0" borderId="1" xfId="0" applyNumberFormat="1" applyBorder="1" applyProtection="1">
      <protection locked="0"/>
    </xf>
    <xf numFmtId="0" fontId="21" fillId="0" borderId="2" xfId="0" applyFont="1" applyBorder="1" applyAlignment="1" applyProtection="1">
      <alignment horizontal="right" wrapText="1"/>
      <protection locked="0"/>
    </xf>
    <xf numFmtId="1" fontId="21" fillId="0" borderId="2" xfId="0" applyNumberFormat="1" applyFont="1" applyBorder="1" applyAlignment="1" applyProtection="1">
      <alignment horizontal="right" wrapText="1"/>
      <protection locked="0"/>
    </xf>
    <xf numFmtId="165" fontId="21" fillId="0" borderId="2" xfId="0" applyNumberFormat="1" applyFont="1" applyBorder="1" applyAlignment="1" applyProtection="1">
      <alignment horizontal="right" wrapText="1"/>
      <protection locked="0"/>
    </xf>
    <xf numFmtId="2" fontId="13" fillId="0" borderId="2" xfId="0" applyNumberFormat="1" applyFont="1" applyBorder="1" applyAlignment="1" applyProtection="1">
      <alignment horizontal="right" wrapText="1"/>
      <protection locked="0"/>
    </xf>
    <xf numFmtId="165" fontId="13" fillId="0" borderId="4" xfId="0" applyNumberFormat="1" applyFont="1" applyBorder="1" applyAlignment="1" applyProtection="1">
      <alignment horizontal="right" wrapText="1"/>
      <protection locked="0"/>
    </xf>
    <xf numFmtId="1" fontId="13" fillId="4" borderId="2" xfId="0" applyNumberFormat="1" applyFont="1" applyFill="1" applyBorder="1" applyAlignment="1" applyProtection="1">
      <alignment horizontal="right" wrapText="1"/>
      <protection locked="0"/>
    </xf>
    <xf numFmtId="0" fontId="0" fillId="0" borderId="7" xfId="0" applyBorder="1"/>
    <xf numFmtId="164" fontId="0" fillId="0" borderId="0" xfId="0" applyNumberFormat="1" applyProtection="1">
      <protection locked="0"/>
    </xf>
    <xf numFmtId="0" fontId="14" fillId="9" borderId="0" xfId="0" applyFont="1" applyFill="1"/>
    <xf numFmtId="0" fontId="14" fillId="9" borderId="0" xfId="0" applyFont="1" applyFill="1" applyAlignment="1">
      <alignment vertical="center"/>
    </xf>
    <xf numFmtId="0" fontId="21" fillId="8" borderId="11" xfId="0" applyFont="1" applyFill="1" applyBorder="1" applyAlignment="1">
      <alignment horizontal="center" wrapText="1"/>
    </xf>
    <xf numFmtId="10" fontId="0" fillId="8" borderId="11" xfId="0" applyNumberFormat="1" applyFill="1" applyBorder="1" applyAlignment="1">
      <alignment wrapText="1"/>
    </xf>
    <xf numFmtId="10" fontId="21" fillId="8" borderId="11" xfId="0" applyNumberFormat="1" applyFont="1" applyFill="1" applyBorder="1" applyAlignment="1">
      <alignment horizontal="right" wrapText="1"/>
    </xf>
    <xf numFmtId="0" fontId="21" fillId="0" borderId="11" xfId="0" applyFont="1" applyBorder="1" applyAlignment="1">
      <alignment horizontal="right" wrapText="1"/>
    </xf>
    <xf numFmtId="165" fontId="21" fillId="0" borderId="11" xfId="0" applyNumberFormat="1" applyFont="1" applyBorder="1" applyAlignment="1">
      <alignment horizontal="right" wrapText="1"/>
    </xf>
    <xf numFmtId="0" fontId="0" fillId="8" borderId="11" xfId="0" applyFill="1" applyBorder="1" applyAlignment="1">
      <alignment horizontal="center" wrapText="1"/>
    </xf>
    <xf numFmtId="0" fontId="0" fillId="8" borderId="11" xfId="0" applyFill="1" applyBorder="1" applyAlignment="1">
      <alignment vertical="center" wrapText="1"/>
    </xf>
    <xf numFmtId="10" fontId="1" fillId="4" borderId="2" xfId="0" applyNumberFormat="1" applyFont="1" applyFill="1" applyBorder="1" applyAlignment="1">
      <alignment wrapText="1"/>
    </xf>
    <xf numFmtId="6" fontId="1" fillId="0" borderId="2" xfId="0" applyNumberFormat="1" applyFont="1" applyBorder="1" applyAlignment="1" applyProtection="1">
      <alignment horizontal="right" wrapText="1"/>
      <protection locked="0"/>
    </xf>
    <xf numFmtId="165" fontId="1" fillId="0" borderId="2" xfId="0" applyNumberFormat="1" applyFont="1" applyBorder="1" applyAlignment="1" applyProtection="1">
      <alignment horizontal="right" wrapText="1"/>
      <protection locked="0"/>
    </xf>
    <xf numFmtId="0" fontId="0" fillId="10" borderId="2" xfId="0" applyFill="1" applyBorder="1"/>
    <xf numFmtId="0" fontId="23" fillId="4" borderId="2" xfId="0" applyFont="1" applyFill="1" applyBorder="1"/>
    <xf numFmtId="0" fontId="23" fillId="4" borderId="2" xfId="0" applyFont="1" applyFill="1" applyBorder="1" applyAlignment="1">
      <alignment horizontal="center" wrapText="1"/>
    </xf>
    <xf numFmtId="0" fontId="21" fillId="4" borderId="11" xfId="0" applyFont="1" applyFill="1" applyBorder="1" applyAlignment="1">
      <alignment horizontal="right" wrapText="1"/>
    </xf>
    <xf numFmtId="0" fontId="13" fillId="0" borderId="0" xfId="0" applyFont="1" applyAlignment="1">
      <alignment wrapText="1"/>
    </xf>
    <xf numFmtId="42" fontId="0" fillId="0" borderId="0" xfId="1" applyNumberFormat="1" applyFont="1" applyFill="1" applyProtection="1">
      <protection locked="0"/>
    </xf>
    <xf numFmtId="4" fontId="0" fillId="0" borderId="0" xfId="0" applyNumberFormat="1" applyProtection="1">
      <protection locked="0"/>
    </xf>
    <xf numFmtId="0" fontId="13" fillId="4" borderId="2" xfId="0" applyFont="1" applyFill="1" applyBorder="1" applyAlignment="1" applyProtection="1">
      <alignment horizontal="right" wrapText="1"/>
      <protection locked="0"/>
    </xf>
    <xf numFmtId="0" fontId="13" fillId="4" borderId="2" xfId="0" applyFont="1" applyFill="1" applyBorder="1" applyAlignment="1" applyProtection="1">
      <alignment horizontal="center" wrapText="1"/>
      <protection locked="0"/>
    </xf>
    <xf numFmtId="0" fontId="0" fillId="8" borderId="14" xfId="0" applyFill="1" applyBorder="1" applyAlignment="1">
      <alignment horizontal="center" wrapText="1"/>
    </xf>
    <xf numFmtId="0" fontId="0" fillId="0" borderId="14" xfId="0" applyBorder="1" applyAlignment="1">
      <alignment wrapText="1"/>
    </xf>
    <xf numFmtId="0" fontId="0" fillId="8" borderId="14" xfId="0" applyFill="1" applyBorder="1" applyAlignment="1">
      <alignment wrapText="1"/>
    </xf>
    <xf numFmtId="1" fontId="0" fillId="8" borderId="14" xfId="0" applyNumberFormat="1" applyFill="1" applyBorder="1" applyAlignment="1">
      <alignment wrapText="1"/>
    </xf>
    <xf numFmtId="0" fontId="0" fillId="8" borderId="14" xfId="0" applyFill="1" applyBorder="1" applyAlignment="1">
      <alignment horizontal="right" wrapText="1"/>
    </xf>
    <xf numFmtId="10" fontId="0" fillId="8" borderId="14" xfId="0" applyNumberFormat="1" applyFill="1" applyBorder="1" applyAlignment="1">
      <alignment wrapText="1"/>
    </xf>
    <xf numFmtId="165" fontId="0" fillId="0" borderId="14" xfId="0" applyNumberFormat="1" applyBorder="1" applyAlignment="1">
      <alignment wrapText="1"/>
    </xf>
    <xf numFmtId="165" fontId="0" fillId="8" borderId="14" xfId="0" applyNumberFormat="1" applyFill="1" applyBorder="1" applyAlignment="1">
      <alignment wrapText="1"/>
    </xf>
    <xf numFmtId="10" fontId="21" fillId="8" borderId="14" xfId="0" applyNumberFormat="1" applyFont="1" applyFill="1" applyBorder="1" applyAlignment="1">
      <alignment horizontal="right" wrapText="1"/>
    </xf>
    <xf numFmtId="0" fontId="13" fillId="11" borderId="2" xfId="0" applyFont="1" applyFill="1" applyBorder="1" applyAlignment="1">
      <alignment horizontal="right" vertical="center" wrapText="1"/>
    </xf>
    <xf numFmtId="165" fontId="13" fillId="11" borderId="2" xfId="0" applyNumberFormat="1" applyFont="1" applyFill="1" applyBorder="1" applyAlignment="1">
      <alignment horizontal="right" vertical="center" wrapText="1"/>
    </xf>
    <xf numFmtId="165" fontId="13" fillId="4" borderId="2" xfId="0" applyNumberFormat="1" applyFont="1" applyFill="1" applyBorder="1" applyAlignment="1">
      <alignment horizontal="right" vertical="center" wrapText="1"/>
    </xf>
    <xf numFmtId="167" fontId="13" fillId="0" borderId="2" xfId="0" applyNumberFormat="1" applyFont="1" applyBorder="1" applyAlignment="1" applyProtection="1">
      <alignment horizontal="right" wrapText="1"/>
      <protection locked="0"/>
    </xf>
    <xf numFmtId="169" fontId="0" fillId="4" borderId="2" xfId="0" applyNumberFormat="1" applyFill="1" applyBorder="1" applyAlignment="1">
      <alignment wrapText="1"/>
    </xf>
    <xf numFmtId="165" fontId="13" fillId="0" borderId="0" xfId="0" applyNumberFormat="1" applyFont="1" applyAlignment="1">
      <alignment horizontal="right" vertical="center" wrapText="1"/>
    </xf>
    <xf numFmtId="0" fontId="13" fillId="4" borderId="0" xfId="0" applyFont="1" applyFill="1" applyAlignment="1">
      <alignment horizontal="right" vertical="center" wrapText="1"/>
    </xf>
    <xf numFmtId="1" fontId="13" fillId="4" borderId="2" xfId="0" applyNumberFormat="1" applyFont="1" applyFill="1" applyBorder="1" applyAlignment="1">
      <alignment horizontal="right" vertical="center" wrapText="1"/>
    </xf>
    <xf numFmtId="10" fontId="13" fillId="4" borderId="2" xfId="0" applyNumberFormat="1" applyFont="1" applyFill="1" applyBorder="1" applyAlignment="1">
      <alignment horizontal="right" vertical="center" wrapText="1"/>
    </xf>
    <xf numFmtId="165" fontId="13" fillId="0" borderId="2" xfId="0" applyNumberFormat="1" applyFont="1" applyBorder="1" applyAlignment="1">
      <alignment horizontal="right" vertical="center" wrapText="1"/>
    </xf>
    <xf numFmtId="165" fontId="13" fillId="0" borderId="1" xfId="0" applyNumberFormat="1" applyFont="1" applyBorder="1" applyAlignment="1" applyProtection="1">
      <alignment horizontal="right" wrapText="1"/>
      <protection locked="0"/>
    </xf>
    <xf numFmtId="0" fontId="23" fillId="0" borderId="0" xfId="0" applyFont="1"/>
    <xf numFmtId="6" fontId="0" fillId="0" borderId="0" xfId="0" applyNumberFormat="1" applyAlignment="1">
      <alignment vertical="center" wrapText="1"/>
    </xf>
    <xf numFmtId="3" fontId="0" fillId="0" borderId="0" xfId="0" applyNumberFormat="1"/>
    <xf numFmtId="0" fontId="2" fillId="4" borderId="2" xfId="0" applyFont="1" applyFill="1" applyBorder="1" applyAlignment="1">
      <alignment wrapText="1"/>
    </xf>
    <xf numFmtId="1" fontId="2" fillId="4" borderId="2" xfId="0" applyNumberFormat="1" applyFont="1" applyFill="1" applyBorder="1" applyAlignment="1">
      <alignment wrapText="1"/>
    </xf>
    <xf numFmtId="10" fontId="2" fillId="4" borderId="2" xfId="0" applyNumberFormat="1" applyFont="1" applyFill="1" applyBorder="1" applyAlignment="1">
      <alignment wrapText="1"/>
    </xf>
    <xf numFmtId="165" fontId="2" fillId="4" borderId="2" xfId="0" applyNumberFormat="1" applyFont="1" applyFill="1" applyBorder="1" applyAlignment="1">
      <alignment wrapText="1"/>
    </xf>
    <xf numFmtId="0" fontId="0" fillId="12" borderId="0" xfId="0" applyFill="1"/>
    <xf numFmtId="0" fontId="0" fillId="12" borderId="0" xfId="0" applyFill="1" applyAlignment="1">
      <alignment vertical="justify"/>
    </xf>
    <xf numFmtId="0" fontId="0" fillId="0" borderId="0" xfId="0" applyAlignment="1">
      <alignment vertical="justify"/>
    </xf>
    <xf numFmtId="0" fontId="0" fillId="12" borderId="0" xfId="0" applyFill="1" applyAlignment="1">
      <alignment wrapText="1"/>
    </xf>
    <xf numFmtId="9" fontId="0" fillId="12" borderId="0" xfId="0" applyNumberFormat="1" applyFill="1" applyAlignment="1">
      <alignment wrapText="1"/>
    </xf>
    <xf numFmtId="165" fontId="0" fillId="12" borderId="0" xfId="0" applyNumberFormat="1" applyFill="1" applyAlignment="1">
      <alignment wrapText="1"/>
    </xf>
    <xf numFmtId="10" fontId="0" fillId="12" borderId="0" xfId="0" applyNumberFormat="1" applyFill="1" applyAlignment="1">
      <alignment wrapText="1"/>
    </xf>
    <xf numFmtId="0" fontId="13" fillId="0" borderId="2" xfId="0" applyFont="1" applyBorder="1" applyAlignment="1" applyProtection="1">
      <alignment wrapText="1"/>
      <protection locked="0"/>
    </xf>
    <xf numFmtId="0" fontId="13" fillId="0" borderId="2" xfId="0" applyFont="1" applyBorder="1" applyAlignment="1">
      <alignment vertical="center" wrapText="1"/>
    </xf>
    <xf numFmtId="165" fontId="13" fillId="0" borderId="2" xfId="0" applyNumberFormat="1" applyFont="1" applyBorder="1" applyAlignment="1" applyProtection="1">
      <alignment wrapText="1"/>
      <protection locked="0"/>
    </xf>
    <xf numFmtId="10" fontId="13" fillId="4" borderId="2" xfId="14" applyNumberFormat="1" applyFont="1" applyFill="1" applyBorder="1" applyAlignment="1">
      <alignment wrapText="1"/>
    </xf>
    <xf numFmtId="0" fontId="5" fillId="0" borderId="0" xfId="0" applyFont="1" applyAlignment="1">
      <alignment vertical="center" wrapText="1"/>
    </xf>
    <xf numFmtId="6" fontId="13" fillId="0" borderId="0" xfId="0" applyNumberFormat="1" applyFont="1" applyAlignment="1">
      <alignment horizontal="right" vertical="center" wrapText="1"/>
    </xf>
    <xf numFmtId="6" fontId="13" fillId="0" borderId="2" xfId="0" applyNumberFormat="1" applyFont="1" applyBorder="1" applyAlignment="1">
      <alignment horizontal="right" vertical="center" wrapText="1"/>
    </xf>
    <xf numFmtId="0" fontId="13" fillId="11" borderId="2" xfId="0" applyFont="1" applyFill="1" applyBorder="1" applyAlignment="1">
      <alignment horizontal="right" wrapText="1"/>
    </xf>
    <xf numFmtId="0" fontId="13" fillId="4" borderId="2" xfId="27" applyFont="1" applyFill="1" applyBorder="1" applyAlignment="1">
      <alignment horizontal="center" wrapText="1"/>
    </xf>
    <xf numFmtId="0" fontId="13" fillId="4" borderId="2" xfId="27" applyFont="1" applyFill="1" applyBorder="1" applyAlignment="1">
      <alignment horizontal="right" wrapText="1"/>
    </xf>
    <xf numFmtId="0" fontId="13" fillId="4" borderId="2" xfId="27" applyFont="1" applyFill="1" applyBorder="1" applyAlignment="1">
      <alignment horizontal="right" vertical="center" wrapText="1"/>
    </xf>
    <xf numFmtId="1" fontId="13" fillId="4" borderId="2" xfId="27" applyNumberFormat="1" applyFont="1" applyFill="1" applyBorder="1" applyAlignment="1">
      <alignment horizontal="right" wrapText="1"/>
    </xf>
    <xf numFmtId="10" fontId="13" fillId="4" borderId="2" xfId="3" applyNumberFormat="1" applyFont="1" applyFill="1" applyBorder="1" applyAlignment="1">
      <alignment horizontal="right" wrapText="1"/>
    </xf>
    <xf numFmtId="0" fontId="13" fillId="0" borderId="2" xfId="27" applyFont="1" applyBorder="1" applyAlignment="1">
      <alignment horizontal="right" wrapText="1"/>
    </xf>
    <xf numFmtId="0" fontId="13" fillId="0" borderId="2" xfId="27" applyFont="1" applyBorder="1" applyAlignment="1">
      <alignment horizontal="right" vertical="center" wrapText="1"/>
    </xf>
    <xf numFmtId="170" fontId="13" fillId="4" borderId="2" xfId="1" applyNumberFormat="1" applyFont="1" applyFill="1" applyBorder="1" applyAlignment="1">
      <alignment horizontal="right" wrapText="1"/>
    </xf>
    <xf numFmtId="9" fontId="13" fillId="4" borderId="2" xfId="3" applyFont="1" applyFill="1" applyBorder="1" applyAlignment="1">
      <alignment horizontal="right" vertical="center" wrapText="1"/>
    </xf>
    <xf numFmtId="10" fontId="13" fillId="4" borderId="2" xfId="3" applyNumberFormat="1" applyFont="1" applyFill="1" applyBorder="1" applyAlignment="1">
      <alignment horizontal="right" vertical="center" wrapText="1"/>
    </xf>
    <xf numFmtId="0" fontId="5" fillId="0" borderId="0" xfId="0" applyFont="1" applyAlignment="1">
      <alignment horizontal="right" vertical="center" wrapText="1"/>
    </xf>
    <xf numFmtId="10" fontId="0" fillId="13" borderId="2" xfId="0" applyNumberFormat="1" applyFill="1" applyBorder="1" applyAlignment="1">
      <alignment wrapText="1"/>
    </xf>
    <xf numFmtId="6" fontId="2" fillId="0" borderId="0" xfId="0" applyNumberFormat="1" applyFont="1"/>
    <xf numFmtId="0" fontId="0" fillId="0" borderId="8" xfId="0" applyBorder="1" applyProtection="1">
      <protection locked="0"/>
    </xf>
    <xf numFmtId="0" fontId="0" fillId="0" borderId="5" xfId="0" applyBorder="1" applyProtection="1">
      <protection locked="0"/>
    </xf>
    <xf numFmtId="0" fontId="13" fillId="11" borderId="2" xfId="0" applyFont="1" applyFill="1" applyBorder="1" applyAlignment="1" applyProtection="1">
      <alignment horizontal="right" wrapText="1"/>
      <protection locked="0"/>
    </xf>
    <xf numFmtId="167" fontId="13" fillId="11" borderId="2" xfId="0" applyNumberFormat="1" applyFont="1" applyFill="1" applyBorder="1" applyAlignment="1" applyProtection="1">
      <alignment horizontal="right" wrapText="1"/>
      <protection locked="0"/>
    </xf>
    <xf numFmtId="165" fontId="13" fillId="11" borderId="2" xfId="0" applyNumberFormat="1" applyFont="1" applyFill="1" applyBorder="1" applyAlignment="1" applyProtection="1">
      <alignment horizontal="right" wrapText="1"/>
      <protection locked="0"/>
    </xf>
    <xf numFmtId="0" fontId="0" fillId="4" borderId="2" xfId="0" applyFill="1" applyBorder="1" applyAlignment="1">
      <alignment horizontal="center"/>
    </xf>
    <xf numFmtId="165" fontId="13" fillId="0" borderId="2" xfId="1" applyNumberFormat="1" applyFont="1" applyBorder="1" applyAlignment="1" applyProtection="1">
      <alignment horizontal="right" wrapText="1"/>
      <protection locked="0"/>
    </xf>
    <xf numFmtId="165" fontId="13" fillId="0" borderId="2" xfId="28" applyNumberFormat="1" applyFont="1" applyBorder="1" applyAlignment="1" applyProtection="1">
      <alignment horizontal="right" wrapText="1"/>
      <protection locked="0"/>
    </xf>
    <xf numFmtId="165" fontId="0" fillId="0" borderId="2" xfId="28" applyNumberFormat="1" applyFont="1" applyFill="1" applyBorder="1" applyAlignment="1">
      <alignment wrapText="1"/>
    </xf>
    <xf numFmtId="0" fontId="0" fillId="4" borderId="5" xfId="0" applyFill="1" applyBorder="1"/>
    <xf numFmtId="43" fontId="13" fillId="0" borderId="0" xfId="28" applyFont="1" applyAlignment="1">
      <alignment horizontal="right" vertical="center" wrapText="1"/>
    </xf>
    <xf numFmtId="3" fontId="13" fillId="0" borderId="2" xfId="0" applyNumberFormat="1" applyFont="1" applyBorder="1" applyAlignment="1">
      <alignment horizontal="right" vertical="center" wrapText="1"/>
    </xf>
    <xf numFmtId="0" fontId="13" fillId="4" borderId="2" xfId="0" applyFont="1" applyFill="1" applyBorder="1" applyAlignment="1">
      <alignment vertical="center" wrapText="1"/>
    </xf>
    <xf numFmtId="9" fontId="13" fillId="4" borderId="2" xfId="0" applyNumberFormat="1" applyFont="1" applyFill="1" applyBorder="1" applyAlignment="1">
      <alignment horizontal="right" vertical="center" wrapText="1"/>
    </xf>
    <xf numFmtId="0" fontId="0" fillId="4" borderId="0" xfId="0" applyFill="1" applyAlignment="1">
      <alignment horizontal="center"/>
    </xf>
    <xf numFmtId="4" fontId="13" fillId="0" borderId="2" xfId="27" applyNumberFormat="1" applyFont="1" applyBorder="1" applyAlignment="1">
      <alignment horizontal="right" wrapText="1"/>
    </xf>
    <xf numFmtId="164" fontId="13" fillId="0" borderId="2" xfId="27" applyNumberFormat="1" applyFont="1" applyBorder="1" applyAlignment="1">
      <alignment horizontal="right" wrapText="1"/>
    </xf>
    <xf numFmtId="6" fontId="0" fillId="0" borderId="0" xfId="0" applyNumberFormat="1"/>
    <xf numFmtId="164" fontId="26" fillId="0" borderId="2" xfId="0" applyNumberFormat="1" applyFont="1" applyBorder="1" applyAlignment="1" applyProtection="1">
      <alignment horizontal="right" wrapText="1"/>
      <protection locked="0"/>
    </xf>
    <xf numFmtId="165" fontId="13" fillId="0" borderId="6" xfId="0" applyNumberFormat="1" applyFont="1" applyBorder="1" applyAlignment="1" applyProtection="1">
      <alignment horizontal="right" wrapText="1"/>
      <protection locked="0"/>
    </xf>
    <xf numFmtId="165" fontId="26" fillId="0" borderId="2" xfId="0" applyNumberFormat="1" applyFont="1" applyBorder="1" applyAlignment="1" applyProtection="1">
      <alignment horizontal="right" wrapText="1"/>
      <protection locked="0"/>
    </xf>
    <xf numFmtId="0" fontId="13" fillId="0" borderId="0" xfId="0" applyFont="1" applyAlignment="1" applyProtection="1">
      <alignment horizontal="right" wrapText="1"/>
      <protection locked="0"/>
    </xf>
    <xf numFmtId="10" fontId="0" fillId="0" borderId="0" xfId="0" applyNumberFormat="1" applyAlignment="1">
      <alignment wrapText="1"/>
    </xf>
    <xf numFmtId="165" fontId="13" fillId="0" borderId="0" xfId="0" applyNumberFormat="1" applyFont="1" applyAlignment="1" applyProtection="1">
      <alignment horizontal="right" wrapText="1"/>
      <protection locked="0"/>
    </xf>
    <xf numFmtId="10" fontId="13" fillId="0" borderId="0" xfId="14" applyNumberFormat="1" applyFont="1" applyAlignment="1">
      <alignment horizontal="right" wrapText="1"/>
    </xf>
    <xf numFmtId="6" fontId="12" fillId="0" borderId="0" xfId="0" applyNumberFormat="1" applyFont="1" applyAlignment="1">
      <alignment vertical="center" wrapText="1"/>
    </xf>
    <xf numFmtId="0" fontId="13" fillId="15" borderId="2" xfId="0" applyFont="1" applyFill="1" applyBorder="1" applyAlignment="1">
      <alignment horizontal="center" vertical="center" wrapText="1"/>
    </xf>
    <xf numFmtId="3" fontId="13" fillId="11" borderId="2" xfId="0" applyNumberFormat="1" applyFont="1" applyFill="1" applyBorder="1" applyAlignment="1">
      <alignment horizontal="center" vertical="center" wrapText="1"/>
    </xf>
    <xf numFmtId="0" fontId="21" fillId="16" borderId="2" xfId="0" applyFont="1" applyFill="1" applyBorder="1" applyAlignment="1">
      <alignment horizontal="right" vertical="center" wrapText="1"/>
    </xf>
    <xf numFmtId="0" fontId="0" fillId="10" borderId="2" xfId="0" applyFill="1" applyBorder="1" applyAlignment="1">
      <alignment horizontal="center" wrapText="1"/>
    </xf>
    <xf numFmtId="165" fontId="5" fillId="0" borderId="0" xfId="0" applyNumberFormat="1" applyFont="1" applyAlignment="1">
      <alignment horizontal="center" vertical="center" wrapText="1"/>
    </xf>
    <xf numFmtId="0" fontId="2" fillId="17" borderId="2" xfId="0" applyFont="1" applyFill="1" applyBorder="1" applyAlignment="1">
      <alignment wrapText="1"/>
    </xf>
    <xf numFmtId="0" fontId="27" fillId="17" borderId="0" xfId="0" quotePrefix="1" applyFont="1" applyFill="1" applyAlignment="1">
      <alignment wrapText="1"/>
    </xf>
    <xf numFmtId="1" fontId="2" fillId="17" borderId="2" xfId="0" applyNumberFormat="1" applyFont="1" applyFill="1" applyBorder="1" applyAlignment="1">
      <alignment wrapText="1"/>
    </xf>
    <xf numFmtId="165" fontId="13" fillId="11" borderId="4" xfId="0" applyNumberFormat="1" applyFont="1" applyFill="1" applyBorder="1" applyAlignment="1">
      <alignment horizontal="right" vertical="center" wrapText="1"/>
    </xf>
    <xf numFmtId="165" fontId="13" fillId="0" borderId="4" xfId="0" applyNumberFormat="1" applyFont="1" applyBorder="1" applyAlignment="1">
      <alignment horizontal="right" vertical="center" wrapText="1"/>
    </xf>
    <xf numFmtId="165" fontId="13" fillId="18" borderId="2" xfId="0" applyNumberFormat="1" applyFont="1" applyFill="1" applyBorder="1" applyAlignment="1">
      <alignment horizontal="right" vertical="center" wrapText="1"/>
    </xf>
    <xf numFmtId="44" fontId="13" fillId="0" borderId="2" xfId="1" applyFont="1" applyFill="1" applyBorder="1" applyAlignment="1">
      <alignment horizontal="right" vertical="center" wrapText="1"/>
    </xf>
    <xf numFmtId="44" fontId="13" fillId="4" borderId="2" xfId="1" applyFont="1" applyFill="1" applyBorder="1" applyAlignment="1">
      <alignment horizontal="right" vertical="center" wrapText="1"/>
    </xf>
    <xf numFmtId="0" fontId="28" fillId="4" borderId="2" xfId="0" applyFont="1" applyFill="1" applyBorder="1" applyAlignment="1">
      <alignment horizontal="right" wrapText="1"/>
    </xf>
    <xf numFmtId="1" fontId="28" fillId="4" borderId="2" xfId="0" applyNumberFormat="1" applyFont="1" applyFill="1" applyBorder="1" applyAlignment="1">
      <alignment horizontal="right" wrapText="1"/>
    </xf>
    <xf numFmtId="10" fontId="28" fillId="4" borderId="2" xfId="0" applyNumberFormat="1" applyFont="1" applyFill="1" applyBorder="1" applyAlignment="1">
      <alignment horizontal="right" wrapText="1"/>
    </xf>
    <xf numFmtId="44" fontId="26" fillId="0" borderId="2" xfId="1" applyFont="1" applyFill="1" applyBorder="1" applyAlignment="1">
      <alignment horizontal="right" vertical="center" wrapText="1"/>
    </xf>
    <xf numFmtId="44" fontId="26" fillId="4" borderId="2" xfId="1" applyFont="1" applyFill="1" applyBorder="1" applyAlignment="1">
      <alignment horizontal="right" vertical="center" wrapText="1"/>
    </xf>
    <xf numFmtId="10" fontId="13" fillId="4" borderId="2" xfId="0" applyNumberFormat="1" applyFont="1" applyFill="1" applyBorder="1" applyAlignment="1">
      <alignment horizontal="right" wrapText="1"/>
    </xf>
    <xf numFmtId="0" fontId="5" fillId="19" borderId="2" xfId="0" applyFont="1" applyFill="1" applyBorder="1" applyAlignment="1">
      <alignment horizontal="right" wrapText="1"/>
    </xf>
    <xf numFmtId="0" fontId="5" fillId="4" borderId="0" xfId="0" applyFont="1" applyFill="1" applyAlignment="1">
      <alignment horizontal="right" wrapText="1"/>
    </xf>
    <xf numFmtId="0" fontId="21" fillId="20" borderId="2" xfId="0" applyFont="1" applyFill="1" applyBorder="1" applyAlignment="1">
      <alignment horizontal="right" vertical="center" wrapText="1"/>
    </xf>
    <xf numFmtId="0" fontId="2" fillId="4" borderId="0" xfId="0" applyFont="1" applyFill="1"/>
    <xf numFmtId="0" fontId="13" fillId="4" borderId="0" xfId="0" applyFont="1" applyFill="1"/>
    <xf numFmtId="6" fontId="2" fillId="4" borderId="0" xfId="0" applyNumberFormat="1" applyFont="1" applyFill="1"/>
    <xf numFmtId="0" fontId="21" fillId="0" borderId="2" xfId="0" applyFont="1" applyBorder="1" applyAlignment="1">
      <alignment horizontal="right" vertical="center" wrapText="1"/>
    </xf>
    <xf numFmtId="3" fontId="2" fillId="0" borderId="0" xfId="0" applyNumberFormat="1" applyFont="1"/>
    <xf numFmtId="164" fontId="13" fillId="0" borderId="8" xfId="0" applyNumberFormat="1" applyFont="1" applyBorder="1" applyAlignment="1">
      <alignment horizontal="right"/>
    </xf>
    <xf numFmtId="0" fontId="29" fillId="4" borderId="0" xfId="0" applyFont="1" applyFill="1"/>
    <xf numFmtId="0" fontId="30" fillId="0" borderId="0" xfId="0" applyFont="1" applyProtection="1">
      <protection locked="0"/>
    </xf>
    <xf numFmtId="3" fontId="0" fillId="0" borderId="5" xfId="0" applyNumberFormat="1" applyBorder="1"/>
    <xf numFmtId="6" fontId="13" fillId="4" borderId="2" xfId="0" applyNumberFormat="1" applyFont="1" applyFill="1" applyBorder="1" applyAlignment="1">
      <alignment horizontal="right" vertical="center" wrapText="1"/>
    </xf>
    <xf numFmtId="0" fontId="13" fillId="4" borderId="2" xfId="0" applyFont="1" applyFill="1" applyBorder="1" applyAlignment="1" applyProtection="1">
      <alignment horizontal="center" vertical="center" wrapText="1"/>
      <protection locked="0"/>
    </xf>
    <xf numFmtId="0" fontId="2" fillId="13" borderId="5" xfId="0" applyFont="1" applyFill="1" applyBorder="1" applyAlignment="1">
      <alignment horizontal="center"/>
    </xf>
    <xf numFmtId="0" fontId="21" fillId="16" borderId="17" xfId="0" applyFont="1" applyFill="1" applyBorder="1" applyAlignment="1">
      <alignment horizontal="right" vertical="center" wrapText="1"/>
    </xf>
    <xf numFmtId="0" fontId="21" fillId="16" borderId="0" xfId="0" applyFont="1" applyFill="1" applyAlignment="1">
      <alignment horizontal="right" vertical="center" wrapText="1"/>
    </xf>
    <xf numFmtId="0" fontId="21" fillId="20" borderId="0" xfId="0" applyFont="1" applyFill="1" applyAlignment="1">
      <alignment horizontal="right" vertical="center" wrapText="1"/>
    </xf>
    <xf numFmtId="0" fontId="21" fillId="20" borderId="18" xfId="0" applyFont="1" applyFill="1" applyBorder="1" applyAlignment="1">
      <alignment horizontal="right" vertical="center" wrapText="1"/>
    </xf>
    <xf numFmtId="0" fontId="21" fillId="16" borderId="18" xfId="0" applyFont="1" applyFill="1" applyBorder="1" applyAlignment="1">
      <alignment horizontal="right" vertical="center" wrapText="1"/>
    </xf>
    <xf numFmtId="6" fontId="21" fillId="0" borderId="18" xfId="0" applyNumberFormat="1" applyFont="1" applyBorder="1" applyAlignment="1">
      <alignment horizontal="right" vertical="center" wrapText="1"/>
    </xf>
    <xf numFmtId="6" fontId="21" fillId="20" borderId="18" xfId="0" applyNumberFormat="1" applyFont="1" applyFill="1" applyBorder="1" applyAlignment="1">
      <alignment horizontal="right" vertical="center" wrapText="1"/>
    </xf>
    <xf numFmtId="6" fontId="21" fillId="16" borderId="18" xfId="0" applyNumberFormat="1" applyFont="1" applyFill="1" applyBorder="1" applyAlignment="1">
      <alignment horizontal="right" vertical="center" wrapText="1"/>
    </xf>
    <xf numFmtId="3" fontId="21" fillId="16" borderId="18" xfId="0" applyNumberFormat="1" applyFont="1" applyFill="1" applyBorder="1" applyAlignment="1">
      <alignment horizontal="right" vertical="center" wrapText="1"/>
    </xf>
    <xf numFmtId="10" fontId="21" fillId="20" borderId="0" xfId="0" applyNumberFormat="1" applyFont="1" applyFill="1" applyAlignment="1">
      <alignment horizontal="right" vertical="center" wrapText="1"/>
    </xf>
    <xf numFmtId="0" fontId="21" fillId="8" borderId="0" xfId="0" applyFont="1" applyFill="1" applyAlignment="1">
      <alignment horizontal="center" vertical="center" wrapText="1"/>
    </xf>
    <xf numFmtId="9" fontId="13" fillId="4" borderId="2" xfId="0" applyNumberFormat="1" applyFont="1" applyFill="1" applyBorder="1" applyAlignment="1">
      <alignment horizontal="right" wrapText="1"/>
    </xf>
    <xf numFmtId="3" fontId="13" fillId="4" borderId="2" xfId="0" applyNumberFormat="1" applyFont="1" applyFill="1" applyBorder="1" applyAlignment="1">
      <alignment horizontal="right" wrapText="1"/>
    </xf>
    <xf numFmtId="3" fontId="13" fillId="4" borderId="2" xfId="0" applyNumberFormat="1" applyFont="1" applyFill="1" applyBorder="1" applyAlignment="1">
      <alignment horizontal="right" vertical="center" wrapText="1"/>
    </xf>
    <xf numFmtId="6" fontId="13" fillId="0" borderId="2" xfId="1" applyNumberFormat="1" applyFont="1" applyFill="1" applyBorder="1" applyAlignment="1">
      <alignment horizontal="right" wrapText="1"/>
    </xf>
    <xf numFmtId="165" fontId="13" fillId="0" borderId="2" xfId="1" applyNumberFormat="1" applyFont="1" applyFill="1" applyBorder="1" applyAlignment="1">
      <alignment horizontal="right" wrapText="1"/>
    </xf>
    <xf numFmtId="165" fontId="13" fillId="4" borderId="2" xfId="1" applyNumberFormat="1" applyFont="1" applyFill="1" applyBorder="1" applyAlignment="1">
      <alignment horizontal="right" wrapText="1"/>
    </xf>
    <xf numFmtId="0" fontId="13" fillId="19" borderId="2" xfId="0" applyFont="1" applyFill="1" applyBorder="1" applyAlignment="1">
      <alignment horizontal="right" wrapText="1"/>
    </xf>
    <xf numFmtId="0" fontId="13" fillId="18" borderId="2" xfId="0" applyFont="1" applyFill="1" applyBorder="1" applyAlignment="1">
      <alignment horizontal="right" wrapText="1"/>
    </xf>
    <xf numFmtId="172" fontId="13" fillId="19" borderId="2" xfId="0" applyNumberFormat="1" applyFont="1" applyFill="1" applyBorder="1" applyAlignment="1">
      <alignment horizontal="right" wrapText="1"/>
    </xf>
    <xf numFmtId="173" fontId="26" fillId="4" borderId="2" xfId="0" applyNumberFormat="1" applyFont="1" applyFill="1" applyBorder="1" applyAlignment="1">
      <alignment horizontal="right" wrapText="1"/>
    </xf>
    <xf numFmtId="173" fontId="26" fillId="19" borderId="2" xfId="0" applyNumberFormat="1" applyFont="1" applyFill="1" applyBorder="1" applyAlignment="1">
      <alignment horizontal="right" wrapText="1"/>
    </xf>
    <xf numFmtId="6" fontId="12" fillId="0" borderId="2" xfId="0" applyNumberFormat="1" applyFont="1" applyBorder="1" applyAlignment="1">
      <alignment wrapText="1"/>
    </xf>
    <xf numFmtId="164" fontId="26" fillId="0" borderId="8" xfId="0" applyNumberFormat="1" applyFont="1" applyBorder="1" applyAlignment="1">
      <alignment horizontal="right"/>
    </xf>
    <xf numFmtId="164" fontId="13" fillId="0" borderId="2" xfId="0" applyNumberFormat="1" applyFont="1" applyBorder="1" applyAlignment="1">
      <alignment horizontal="right" vertical="center" wrapText="1"/>
    </xf>
    <xf numFmtId="164" fontId="26" fillId="0" borderId="2" xfId="0" applyNumberFormat="1" applyFont="1" applyBorder="1" applyAlignment="1">
      <alignment horizontal="right" vertical="center" wrapText="1"/>
    </xf>
    <xf numFmtId="164" fontId="0" fillId="0" borderId="0" xfId="0" applyNumberFormat="1"/>
    <xf numFmtId="164" fontId="13" fillId="0" borderId="2" xfId="0" applyNumberFormat="1" applyFont="1" applyBorder="1" applyAlignment="1">
      <alignment horizontal="center" vertical="center" wrapText="1"/>
    </xf>
    <xf numFmtId="164" fontId="13" fillId="4" borderId="2" xfId="0" applyNumberFormat="1" applyFont="1" applyFill="1" applyBorder="1" applyAlignment="1">
      <alignment horizontal="center" vertical="center" wrapText="1"/>
    </xf>
    <xf numFmtId="0" fontId="11" fillId="21" borderId="2" xfId="0" applyFont="1" applyFill="1" applyBorder="1" applyAlignment="1">
      <alignment wrapText="1"/>
    </xf>
    <xf numFmtId="10" fontId="11" fillId="21" borderId="2" xfId="0" applyNumberFormat="1" applyFont="1" applyFill="1" applyBorder="1" applyAlignment="1">
      <alignment wrapText="1"/>
    </xf>
    <xf numFmtId="6" fontId="13" fillId="21" borderId="2" xfId="0" applyNumberFormat="1" applyFont="1" applyFill="1" applyBorder="1" applyAlignment="1">
      <alignment horizontal="right" vertical="center" wrapText="1"/>
    </xf>
    <xf numFmtId="10" fontId="13" fillId="21" borderId="2" xfId="0" applyNumberFormat="1" applyFont="1" applyFill="1" applyBorder="1" applyAlignment="1">
      <alignment horizontal="right" wrapText="1"/>
    </xf>
    <xf numFmtId="0" fontId="11" fillId="0" borderId="0" xfId="0" applyFont="1"/>
    <xf numFmtId="0" fontId="13" fillId="21" borderId="2" xfId="0" applyFont="1" applyFill="1" applyBorder="1" applyAlignment="1">
      <alignment horizontal="center" vertical="center" wrapText="1"/>
    </xf>
    <xf numFmtId="10" fontId="0" fillId="4" borderId="2" xfId="0" applyNumberFormat="1" applyFill="1" applyBorder="1"/>
    <xf numFmtId="0" fontId="13" fillId="0" borderId="15" xfId="0" applyFont="1" applyBorder="1" applyAlignment="1">
      <alignment horizontal="right" vertical="center" wrapText="1"/>
    </xf>
    <xf numFmtId="10" fontId="0" fillId="4" borderId="0" xfId="0" applyNumberFormat="1" applyFill="1"/>
    <xf numFmtId="0" fontId="1" fillId="8" borderId="11" xfId="0" applyFont="1" applyFill="1" applyBorder="1" applyAlignment="1">
      <alignment horizontal="center" vertical="center" wrapText="1"/>
    </xf>
    <xf numFmtId="0" fontId="1" fillId="0" borderId="11" xfId="0" applyFont="1" applyBorder="1" applyAlignment="1">
      <alignment horizontal="right" vertical="center" wrapText="1"/>
    </xf>
    <xf numFmtId="0" fontId="1" fillId="8" borderId="11" xfId="0" applyFont="1" applyFill="1" applyBorder="1" applyAlignment="1">
      <alignment horizontal="right" wrapText="1"/>
    </xf>
    <xf numFmtId="1" fontId="1" fillId="8" borderId="11" xfId="0" applyNumberFormat="1" applyFont="1" applyFill="1" applyBorder="1" applyAlignment="1">
      <alignment horizontal="right" wrapText="1"/>
    </xf>
    <xf numFmtId="10" fontId="1" fillId="8" borderId="11" xfId="0" applyNumberFormat="1" applyFont="1" applyFill="1" applyBorder="1" applyAlignment="1">
      <alignment horizontal="right" wrapText="1"/>
    </xf>
    <xf numFmtId="165" fontId="1" fillId="0" borderId="11" xfId="0" applyNumberFormat="1" applyFont="1" applyBorder="1" applyAlignment="1">
      <alignment horizontal="right" wrapText="1"/>
    </xf>
    <xf numFmtId="165" fontId="1" fillId="8" borderId="11" xfId="0" applyNumberFormat="1" applyFont="1" applyFill="1" applyBorder="1" applyAlignment="1">
      <alignment horizontal="right" wrapText="1"/>
    </xf>
    <xf numFmtId="0" fontId="1" fillId="0" borderId="0" xfId="0" applyFont="1" applyAlignment="1">
      <alignment horizontal="right" vertical="center" wrapText="1"/>
    </xf>
    <xf numFmtId="0" fontId="0" fillId="0" borderId="2" xfId="0" applyBorder="1" applyAlignment="1">
      <alignment horizontal="right"/>
    </xf>
    <xf numFmtId="165" fontId="0" fillId="0" borderId="0" xfId="0" applyNumberFormat="1" applyAlignment="1">
      <alignment horizontal="right"/>
    </xf>
    <xf numFmtId="0" fontId="0" fillId="0" borderId="4" xfId="0" applyBorder="1" applyAlignment="1">
      <alignment horizontal="right"/>
    </xf>
    <xf numFmtId="0" fontId="0" fillId="0" borderId="16" xfId="0" applyBorder="1" applyAlignment="1">
      <alignment horizontal="right"/>
    </xf>
    <xf numFmtId="0" fontId="13" fillId="4" borderId="16" xfId="0" applyFont="1" applyFill="1" applyBorder="1" applyAlignment="1">
      <alignment horizontal="right" vertical="center" wrapText="1"/>
    </xf>
    <xf numFmtId="0" fontId="13" fillId="4" borderId="5" xfId="0" applyFont="1" applyFill="1" applyBorder="1" applyAlignment="1">
      <alignment horizontal="right" vertical="center" wrapText="1"/>
    </xf>
    <xf numFmtId="5" fontId="13" fillId="0" borderId="2" xfId="1" applyNumberFormat="1" applyFont="1" applyFill="1" applyBorder="1" applyAlignment="1">
      <alignment horizontal="right" wrapText="1"/>
    </xf>
    <xf numFmtId="5" fontId="13" fillId="15" borderId="2" xfId="1" applyNumberFormat="1" applyFont="1" applyFill="1" applyBorder="1" applyAlignment="1">
      <alignment horizontal="right" wrapText="1"/>
    </xf>
    <xf numFmtId="6" fontId="13" fillId="0" borderId="2" xfId="0" applyNumberFormat="1" applyFont="1" applyBorder="1" applyAlignment="1">
      <alignment horizontal="center" vertical="center" wrapText="1"/>
    </xf>
    <xf numFmtId="165" fontId="0" fillId="0" borderId="1" xfId="0" applyNumberFormat="1" applyBorder="1" applyAlignment="1">
      <alignment wrapText="1"/>
    </xf>
    <xf numFmtId="10" fontId="13" fillId="0" borderId="1" xfId="14" applyNumberFormat="1" applyFont="1" applyBorder="1" applyAlignment="1">
      <alignment horizontal="right" wrapText="1"/>
    </xf>
    <xf numFmtId="0" fontId="0" fillId="0" borderId="3" xfId="0" applyBorder="1"/>
    <xf numFmtId="0" fontId="0" fillId="0" borderId="6" xfId="0" applyBorder="1"/>
    <xf numFmtId="0" fontId="13" fillId="4" borderId="6" xfId="0" applyFont="1" applyFill="1" applyBorder="1" applyAlignment="1">
      <alignment horizontal="center" wrapText="1"/>
    </xf>
    <xf numFmtId="10" fontId="0" fillId="4" borderId="6" xfId="0" applyNumberFormat="1" applyFill="1" applyBorder="1" applyAlignment="1">
      <alignment wrapText="1"/>
    </xf>
    <xf numFmtId="10" fontId="13" fillId="4" borderId="6" xfId="14" applyNumberFormat="1" applyFont="1" applyFill="1" applyBorder="1" applyAlignment="1">
      <alignment horizontal="right" wrapText="1"/>
    </xf>
    <xf numFmtId="0" fontId="0" fillId="0" borderId="19" xfId="0" applyBorder="1"/>
    <xf numFmtId="3" fontId="0" fillId="0" borderId="19" xfId="0" applyNumberFormat="1" applyBorder="1"/>
    <xf numFmtId="0" fontId="1" fillId="8" borderId="11" xfId="0" applyFont="1" applyFill="1" applyBorder="1" applyAlignment="1">
      <alignment horizontal="center" wrapText="1"/>
    </xf>
    <xf numFmtId="0" fontId="16" fillId="8" borderId="11" xfId="0" applyFont="1" applyFill="1" applyBorder="1" applyAlignment="1">
      <alignment wrapText="1"/>
    </xf>
    <xf numFmtId="1" fontId="16" fillId="8" borderId="11" xfId="0" applyNumberFormat="1" applyFont="1" applyFill="1" applyBorder="1" applyAlignment="1">
      <alignment wrapText="1"/>
    </xf>
    <xf numFmtId="10" fontId="16" fillId="8" borderId="11" xfId="0" applyNumberFormat="1" applyFont="1" applyFill="1" applyBorder="1" applyAlignment="1">
      <alignment wrapText="1"/>
    </xf>
    <xf numFmtId="165" fontId="16" fillId="8" borderId="11" xfId="0" applyNumberFormat="1" applyFont="1" applyFill="1" applyBorder="1" applyAlignment="1">
      <alignment wrapText="1"/>
    </xf>
    <xf numFmtId="0" fontId="1" fillId="0" borderId="0" xfId="0" applyFont="1" applyAlignment="1">
      <alignment horizontal="right" wrapText="1"/>
    </xf>
    <xf numFmtId="0" fontId="1" fillId="0" borderId="11" xfId="0" applyFont="1" applyBorder="1" applyAlignment="1">
      <alignment horizontal="right" wrapText="1"/>
    </xf>
    <xf numFmtId="0" fontId="1" fillId="4" borderId="11" xfId="0" applyFont="1" applyFill="1" applyBorder="1" applyAlignment="1">
      <alignment horizontal="right" wrapText="1"/>
    </xf>
    <xf numFmtId="165" fontId="13" fillId="2" borderId="2" xfId="0" applyNumberFormat="1" applyFont="1" applyFill="1" applyBorder="1" applyAlignment="1" applyProtection="1">
      <alignment horizontal="right" wrapText="1"/>
      <protection locked="0"/>
    </xf>
    <xf numFmtId="0" fontId="21" fillId="14" borderId="2" xfId="0" applyFont="1" applyFill="1" applyBorder="1" applyAlignment="1">
      <alignment horizontal="center" vertical="center" wrapText="1"/>
    </xf>
    <xf numFmtId="0" fontId="16" fillId="14" borderId="2" xfId="0" applyFont="1" applyFill="1" applyBorder="1" applyAlignment="1">
      <alignment wrapText="1"/>
    </xf>
    <xf numFmtId="1" fontId="16" fillId="14" borderId="2" xfId="0" applyNumberFormat="1" applyFont="1" applyFill="1" applyBorder="1" applyAlignment="1">
      <alignment wrapText="1"/>
    </xf>
    <xf numFmtId="0" fontId="21" fillId="14" borderId="2" xfId="29" applyFont="1" applyFill="1" applyBorder="1" applyAlignment="1">
      <alignment horizontal="right" wrapText="1"/>
    </xf>
    <xf numFmtId="167" fontId="21" fillId="0" borderId="2" xfId="0" applyNumberFormat="1" applyFont="1" applyBorder="1" applyAlignment="1" applyProtection="1">
      <alignment horizontal="right" wrapText="1"/>
      <protection locked="0"/>
    </xf>
    <xf numFmtId="10" fontId="16" fillId="14" borderId="2" xfId="0" applyNumberFormat="1" applyFont="1" applyFill="1" applyBorder="1" applyAlignment="1">
      <alignment wrapText="1"/>
    </xf>
    <xf numFmtId="171" fontId="21" fillId="0" borderId="2" xfId="0" applyNumberFormat="1" applyFont="1" applyBorder="1" applyAlignment="1" applyProtection="1">
      <alignment horizontal="right" wrapText="1"/>
      <protection locked="0"/>
    </xf>
    <xf numFmtId="171" fontId="16" fillId="14" borderId="2" xfId="0" applyNumberFormat="1" applyFont="1" applyFill="1" applyBorder="1" applyAlignment="1">
      <alignment wrapText="1"/>
    </xf>
    <xf numFmtId="171" fontId="21" fillId="0" borderId="1" xfId="0" applyNumberFormat="1" applyFont="1" applyBorder="1" applyAlignment="1" applyProtection="1">
      <alignment horizontal="right" wrapText="1"/>
      <protection locked="0"/>
    </xf>
    <xf numFmtId="10" fontId="21" fillId="14" borderId="2" xfId="29" applyNumberFormat="1" applyFont="1" applyFill="1" applyBorder="1" applyAlignment="1" applyProtection="1">
      <alignment horizontal="right" wrapText="1"/>
    </xf>
    <xf numFmtId="0" fontId="21" fillId="0" borderId="0" xfId="0" applyFont="1" applyAlignment="1">
      <alignment horizontal="center" vertical="center" wrapText="1"/>
    </xf>
    <xf numFmtId="0" fontId="21" fillId="14" borderId="0" xfId="0" applyFont="1" applyFill="1" applyAlignment="1">
      <alignment horizontal="center" vertical="center" wrapText="1"/>
    </xf>
    <xf numFmtId="0" fontId="0" fillId="14" borderId="2" xfId="0" applyFill="1" applyBorder="1" applyAlignment="1">
      <alignment wrapText="1"/>
    </xf>
    <xf numFmtId="1" fontId="0" fillId="14" borderId="2" xfId="0" applyNumberFormat="1" applyFill="1" applyBorder="1" applyAlignment="1">
      <alignment wrapText="1"/>
    </xf>
    <xf numFmtId="10" fontId="0" fillId="14" borderId="2" xfId="0" applyNumberFormat="1" applyFill="1" applyBorder="1" applyAlignment="1">
      <alignment wrapText="1"/>
    </xf>
    <xf numFmtId="171" fontId="0" fillId="14" borderId="2" xfId="0" applyNumberFormat="1" applyFill="1" applyBorder="1" applyAlignment="1">
      <alignment wrapText="1"/>
    </xf>
    <xf numFmtId="10" fontId="21" fillId="14" borderId="2" xfId="29" applyNumberFormat="1" applyFont="1" applyFill="1" applyBorder="1" applyAlignment="1">
      <alignment horizontal="right" wrapText="1"/>
    </xf>
    <xf numFmtId="0" fontId="21" fillId="8" borderId="17" xfId="0" applyFont="1" applyFill="1" applyBorder="1" applyAlignment="1">
      <alignment horizontal="center" vertical="center" wrapText="1"/>
    </xf>
    <xf numFmtId="0" fontId="21" fillId="0" borderId="18" xfId="0" applyFont="1" applyBorder="1" applyAlignment="1">
      <alignment horizontal="right" wrapText="1"/>
    </xf>
    <xf numFmtId="164" fontId="21" fillId="0" borderId="0" xfId="0" applyNumberFormat="1" applyFont="1" applyAlignment="1">
      <alignment horizontal="right" wrapText="1"/>
    </xf>
    <xf numFmtId="10" fontId="2" fillId="4" borderId="5" xfId="0" applyNumberFormat="1" applyFont="1" applyFill="1" applyBorder="1"/>
    <xf numFmtId="0" fontId="13" fillId="0" borderId="5" xfId="0" applyFont="1" applyBorder="1"/>
    <xf numFmtId="0" fontId="2" fillId="0" borderId="2" xfId="0" applyFont="1" applyBorder="1"/>
    <xf numFmtId="4" fontId="13" fillId="4" borderId="2" xfId="0" applyNumberFormat="1" applyFont="1" applyFill="1" applyBorder="1" applyAlignment="1">
      <alignment horizontal="right" wrapText="1"/>
    </xf>
    <xf numFmtId="0" fontId="13" fillId="11" borderId="2" xfId="0" applyFont="1" applyFill="1" applyBorder="1" applyAlignment="1">
      <alignment vertical="center" wrapText="1"/>
    </xf>
    <xf numFmtId="0" fontId="34" fillId="11" borderId="2" xfId="0" applyFont="1" applyFill="1" applyBorder="1" applyAlignment="1">
      <alignment vertical="center" wrapText="1"/>
    </xf>
    <xf numFmtId="3" fontId="13" fillId="11" borderId="2" xfId="0" applyNumberFormat="1" applyFont="1" applyFill="1" applyBorder="1" applyAlignment="1">
      <alignment vertical="center" wrapText="1"/>
    </xf>
    <xf numFmtId="0" fontId="13" fillId="0" borderId="0" xfId="0" applyFont="1" applyAlignment="1">
      <alignment vertical="center" wrapText="1"/>
    </xf>
    <xf numFmtId="10" fontId="13" fillId="4" borderId="2" xfId="0" applyNumberFormat="1" applyFont="1" applyFill="1" applyBorder="1" applyAlignment="1">
      <alignment wrapText="1"/>
    </xf>
    <xf numFmtId="164" fontId="13" fillId="4" borderId="2" xfId="0" applyNumberFormat="1" applyFont="1" applyFill="1" applyBorder="1" applyAlignment="1">
      <alignment wrapText="1"/>
    </xf>
    <xf numFmtId="164" fontId="26" fillId="0" borderId="2" xfId="0" applyNumberFormat="1" applyFont="1" applyBorder="1" applyAlignment="1">
      <alignment horizontal="right" wrapText="1"/>
    </xf>
    <xf numFmtId="8" fontId="13" fillId="0" borderId="2" xfId="0" applyNumberFormat="1" applyFont="1" applyBorder="1" applyAlignment="1">
      <alignment horizontal="right" wrapText="1"/>
    </xf>
    <xf numFmtId="8" fontId="13" fillId="4" borderId="2" xfId="0" applyNumberFormat="1" applyFont="1" applyFill="1" applyBorder="1" applyAlignment="1">
      <alignment horizontal="right" wrapText="1"/>
    </xf>
    <xf numFmtId="164" fontId="13" fillId="0" borderId="2" xfId="0" applyNumberFormat="1" applyFont="1" applyBorder="1" applyAlignment="1">
      <alignment horizontal="right" wrapText="1"/>
    </xf>
    <xf numFmtId="165" fontId="35" fillId="0" borderId="0" xfId="0" applyNumberFormat="1" applyFont="1"/>
    <xf numFmtId="14" fontId="0" fillId="0" borderId="0" xfId="0" applyNumberFormat="1" applyProtection="1">
      <protection locked="0"/>
    </xf>
    <xf numFmtId="165" fontId="13" fillId="22" borderId="2" xfId="0" applyNumberFormat="1" applyFont="1" applyFill="1" applyBorder="1" applyAlignment="1" applyProtection="1">
      <alignment horizontal="right" wrapText="1"/>
      <protection locked="0"/>
    </xf>
    <xf numFmtId="0" fontId="13" fillId="21" borderId="2" xfId="0" applyFont="1" applyFill="1" applyBorder="1" applyAlignment="1">
      <alignment horizontal="right" wrapText="1"/>
    </xf>
    <xf numFmtId="10" fontId="13" fillId="23" borderId="2" xfId="0" applyNumberFormat="1" applyFont="1" applyFill="1" applyBorder="1" applyAlignment="1">
      <alignment horizontal="right" vertical="center" wrapText="1"/>
    </xf>
    <xf numFmtId="6" fontId="11" fillId="0" borderId="0" xfId="0" applyNumberFormat="1" applyFont="1" applyAlignment="1">
      <alignment horizontal="right"/>
    </xf>
    <xf numFmtId="6" fontId="13" fillId="23" borderId="2" xfId="0" applyNumberFormat="1" applyFont="1" applyFill="1" applyBorder="1" applyAlignment="1">
      <alignment horizontal="right" vertical="center" wrapText="1"/>
    </xf>
    <xf numFmtId="164" fontId="13" fillId="4" borderId="2" xfId="0" applyNumberFormat="1" applyFont="1" applyFill="1" applyBorder="1" applyAlignment="1">
      <alignment horizontal="right" wrapText="1"/>
    </xf>
    <xf numFmtId="0" fontId="1" fillId="8" borderId="11" xfId="0" applyFont="1" applyFill="1" applyBorder="1" applyAlignment="1">
      <alignment horizontal="right" vertical="center" wrapText="1"/>
    </xf>
    <xf numFmtId="10" fontId="1" fillId="8" borderId="11" xfId="0" applyNumberFormat="1" applyFont="1" applyFill="1" applyBorder="1" applyAlignment="1">
      <alignment horizontal="right" vertical="center" wrapText="1"/>
    </xf>
    <xf numFmtId="165" fontId="1" fillId="0" borderId="0" xfId="0" applyNumberFormat="1" applyFont="1" applyAlignment="1">
      <alignment horizontal="right" vertical="center" wrapText="1"/>
    </xf>
    <xf numFmtId="165" fontId="1" fillId="8" borderId="11" xfId="0" applyNumberFormat="1" applyFont="1" applyFill="1" applyBorder="1" applyAlignment="1">
      <alignment horizontal="right" vertical="center" wrapText="1"/>
    </xf>
    <xf numFmtId="165" fontId="1" fillId="0" borderId="11" xfId="0" applyNumberFormat="1" applyFont="1" applyBorder="1" applyAlignment="1">
      <alignment horizontal="right" vertical="center" wrapText="1"/>
    </xf>
    <xf numFmtId="0" fontId="1" fillId="0" borderId="0" xfId="0" applyFont="1" applyAlignment="1">
      <alignment horizontal="center" vertical="center" wrapText="1"/>
    </xf>
    <xf numFmtId="6" fontId="21" fillId="0" borderId="5" xfId="0" applyNumberFormat="1" applyFont="1" applyBorder="1" applyAlignment="1">
      <alignment horizontal="right" wrapText="1"/>
    </xf>
    <xf numFmtId="174" fontId="13" fillId="19" borderId="2" xfId="0" applyNumberFormat="1" applyFont="1" applyFill="1" applyBorder="1" applyAlignment="1">
      <alignment horizontal="right" wrapText="1"/>
    </xf>
    <xf numFmtId="174" fontId="13" fillId="4" borderId="2" xfId="0" applyNumberFormat="1" applyFont="1" applyFill="1" applyBorder="1" applyAlignment="1">
      <alignment horizontal="right" wrapText="1"/>
    </xf>
    <xf numFmtId="0" fontId="29" fillId="4" borderId="2" xfId="0" applyFont="1" applyFill="1" applyBorder="1"/>
    <xf numFmtId="165" fontId="13" fillId="0" borderId="2" xfId="0" applyNumberFormat="1" applyFont="1" applyBorder="1" applyAlignment="1">
      <alignment horizontal="center" vertical="center" wrapText="1"/>
    </xf>
    <xf numFmtId="0" fontId="13" fillId="0" borderId="2" xfId="0" applyFont="1" applyBorder="1" applyAlignment="1">
      <alignment wrapText="1"/>
    </xf>
    <xf numFmtId="0" fontId="0" fillId="0" borderId="2" xfId="0" applyBorder="1" applyAlignment="1">
      <alignment wrapText="1"/>
    </xf>
    <xf numFmtId="0" fontId="0" fillId="0" borderId="2" xfId="0" applyBorder="1" applyAlignment="1" applyProtection="1">
      <alignment wrapText="1"/>
      <protection locked="0"/>
    </xf>
    <xf numFmtId="0" fontId="0" fillId="0" borderId="2" xfId="0" applyBorder="1"/>
    <xf numFmtId="0" fontId="13" fillId="0" borderId="5" xfId="0" applyFont="1" applyBorder="1" applyAlignment="1">
      <alignment wrapText="1"/>
    </xf>
    <xf numFmtId="0" fontId="0" fillId="0" borderId="2" xfId="0" applyBorder="1" applyProtection="1">
      <protection locked="0"/>
    </xf>
    <xf numFmtId="49" fontId="0" fillId="4" borderId="2" xfId="0" applyNumberFormat="1" applyFill="1" applyBorder="1" applyAlignment="1">
      <alignment horizontal="center" wrapText="1"/>
    </xf>
    <xf numFmtId="0" fontId="0" fillId="0" borderId="4" xfId="0" applyBorder="1" applyProtection="1">
      <protection locked="0"/>
    </xf>
    <xf numFmtId="0" fontId="0" fillId="0" borderId="5" xfId="0" applyBorder="1"/>
    <xf numFmtId="0" fontId="0" fillId="0" borderId="7" xfId="0" applyBorder="1" applyAlignment="1">
      <alignment wrapText="1"/>
    </xf>
    <xf numFmtId="0" fontId="13" fillId="0" borderId="2" xfId="0" applyFont="1" applyBorder="1" applyAlignment="1">
      <alignment wrapText="1"/>
    </xf>
    <xf numFmtId="0" fontId="0" fillId="0" borderId="2" xfId="0" applyBorder="1" applyAlignment="1">
      <alignment wrapText="1"/>
    </xf>
    <xf numFmtId="0" fontId="0" fillId="0" borderId="2" xfId="0" applyBorder="1" applyAlignment="1" applyProtection="1">
      <alignment wrapText="1"/>
      <protection locked="0"/>
    </xf>
    <xf numFmtId="0" fontId="13" fillId="0" borderId="4" xfId="0" applyFont="1" applyBorder="1" applyAlignment="1">
      <alignment wrapText="1"/>
    </xf>
    <xf numFmtId="0" fontId="13" fillId="0" borderId="8" xfId="0" applyFont="1" applyBorder="1" applyAlignment="1">
      <alignment wrapText="1"/>
    </xf>
    <xf numFmtId="0" fontId="13" fillId="0" borderId="5" xfId="0" applyFont="1" applyBorder="1" applyAlignment="1">
      <alignment wrapText="1"/>
    </xf>
    <xf numFmtId="0" fontId="0" fillId="0" borderId="4" xfId="0" applyBorder="1" applyAlignment="1" applyProtection="1">
      <alignment wrapText="1"/>
      <protection locked="0"/>
    </xf>
    <xf numFmtId="0" fontId="0" fillId="0" borderId="8" xfId="0" applyBorder="1" applyAlignment="1" applyProtection="1">
      <alignment wrapText="1"/>
      <protection locked="0"/>
    </xf>
    <xf numFmtId="0" fontId="0" fillId="0" borderId="5" xfId="0" applyBorder="1" applyAlignment="1" applyProtection="1">
      <alignment wrapText="1"/>
      <protection locked="0"/>
    </xf>
    <xf numFmtId="0" fontId="13" fillId="0" borderId="2" xfId="0" applyFont="1" applyBorder="1" applyAlignment="1">
      <alignment horizontal="left" wrapText="1"/>
    </xf>
    <xf numFmtId="0" fontId="7" fillId="0" borderId="2" xfId="0" applyFont="1" applyBorder="1" applyAlignment="1" applyProtection="1">
      <alignment wrapText="1"/>
      <protection locked="0"/>
    </xf>
    <xf numFmtId="0" fontId="2" fillId="0" borderId="2" xfId="0" applyFont="1" applyBorder="1" applyAlignment="1" applyProtection="1">
      <alignment wrapText="1"/>
      <protection locked="0"/>
    </xf>
    <xf numFmtId="46" fontId="0" fillId="0" borderId="2" xfId="0" applyNumberFormat="1" applyBorder="1" applyAlignment="1" applyProtection="1">
      <alignment wrapText="1"/>
      <protection locked="0"/>
    </xf>
    <xf numFmtId="0" fontId="0" fillId="0" borderId="2" xfId="0" applyBorder="1" applyAlignment="1">
      <alignment horizontal="left" wrapText="1"/>
    </xf>
    <xf numFmtId="0" fontId="5" fillId="0" borderId="2" xfId="0" applyFont="1" applyBorder="1" applyAlignment="1">
      <alignment horizontal="left" wrapText="1"/>
    </xf>
    <xf numFmtId="0" fontId="0" fillId="0" borderId="8" xfId="0" applyBorder="1" applyAlignment="1">
      <alignment wrapText="1"/>
    </xf>
    <xf numFmtId="0" fontId="0" fillId="0" borderId="5" xfId="0" applyBorder="1" applyAlignment="1">
      <alignment wrapText="1"/>
    </xf>
    <xf numFmtId="49" fontId="0" fillId="4" borderId="2" xfId="0" applyNumberFormat="1" applyFill="1" applyBorder="1" applyAlignment="1">
      <alignment horizontal="center" wrapText="1"/>
    </xf>
    <xf numFmtId="0" fontId="0" fillId="0" borderId="0" xfId="0" applyAlignment="1" applyProtection="1">
      <alignment horizontal="left" vertical="top" wrapText="1"/>
      <protection locked="0"/>
    </xf>
    <xf numFmtId="0" fontId="3" fillId="0" borderId="0" xfId="2" applyAlignment="1">
      <alignment horizontal="left"/>
    </xf>
    <xf numFmtId="0" fontId="0" fillId="0" borderId="2" xfId="0" applyBorder="1" applyAlignment="1" applyProtection="1">
      <alignment horizontal="left" wrapText="1"/>
      <protection locked="0"/>
    </xf>
    <xf numFmtId="0" fontId="7" fillId="0" borderId="2" xfId="0" applyFont="1" applyBorder="1" applyAlignment="1" applyProtection="1">
      <alignment horizontal="left" wrapText="1"/>
      <protection locked="0"/>
    </xf>
    <xf numFmtId="0" fontId="31" fillId="0" borderId="0" xfId="0" applyFont="1" applyAlignment="1">
      <alignment horizontal="left"/>
    </xf>
    <xf numFmtId="0" fontId="32" fillId="0" borderId="0" xfId="0" applyFont="1" applyAlignment="1">
      <alignment horizontal="left"/>
    </xf>
    <xf numFmtId="0" fontId="13" fillId="0" borderId="2" xfId="0" applyFont="1" applyBorder="1" applyAlignment="1">
      <alignment horizontal="left"/>
    </xf>
    <xf numFmtId="0" fontId="0" fillId="0" borderId="2" xfId="0" applyBorder="1" applyAlignment="1">
      <alignment horizontal="left"/>
    </xf>
    <xf numFmtId="0" fontId="22" fillId="0" borderId="2" xfId="0" applyFont="1" applyBorder="1" applyAlignment="1">
      <alignment wrapText="1"/>
    </xf>
    <xf numFmtId="0" fontId="0" fillId="0" borderId="7" xfId="0" applyBorder="1" applyAlignment="1" applyProtection="1">
      <alignment wrapText="1"/>
      <protection locked="0"/>
    </xf>
    <xf numFmtId="0" fontId="0" fillId="0" borderId="7" xfId="0" applyBorder="1" applyAlignment="1">
      <alignment wrapText="1"/>
    </xf>
    <xf numFmtId="46" fontId="0" fillId="0" borderId="2" xfId="0" applyNumberFormat="1" applyBorder="1" applyAlignment="1">
      <alignment wrapText="1"/>
    </xf>
    <xf numFmtId="0" fontId="0" fillId="0" borderId="2" xfId="0" applyBorder="1" applyAlignment="1">
      <alignment vertical="top" wrapText="1"/>
    </xf>
    <xf numFmtId="0" fontId="11" fillId="0" borderId="2" xfId="0" applyFont="1" applyBorder="1" applyAlignment="1">
      <alignment wrapText="1"/>
    </xf>
    <xf numFmtId="0" fontId="0" fillId="0" borderId="1" xfId="0" applyBorder="1" applyAlignment="1">
      <alignment horizontal="left" wrapText="1"/>
    </xf>
    <xf numFmtId="0" fontId="0" fillId="0" borderId="8" xfId="0" applyBorder="1" applyAlignment="1">
      <alignment horizontal="left" wrapText="1"/>
    </xf>
    <xf numFmtId="0" fontId="0" fillId="0" borderId="8" xfId="0" applyBorder="1" applyAlignment="1" applyProtection="1">
      <alignment horizontal="left"/>
      <protection locked="0"/>
    </xf>
    <xf numFmtId="0" fontId="0" fillId="0" borderId="4" xfId="0" applyBorder="1" applyAlignment="1" applyProtection="1">
      <alignment horizontal="left" wrapText="1"/>
      <protection locked="0"/>
    </xf>
    <xf numFmtId="0" fontId="0" fillId="0" borderId="8"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2" xfId="0" applyBorder="1" applyAlignment="1" applyProtection="1">
      <alignment vertical="top" wrapText="1"/>
      <protection locked="0"/>
    </xf>
    <xf numFmtId="0" fontId="0" fillId="0" borderId="2" xfId="0" applyBorder="1" applyAlignment="1"/>
    <xf numFmtId="0" fontId="0" fillId="0" borderId="2" xfId="0" applyBorder="1" applyAlignment="1" applyProtection="1">
      <protection locked="0"/>
    </xf>
    <xf numFmtId="0" fontId="0" fillId="0" borderId="4" xfId="0" applyBorder="1" applyAlignment="1" applyProtection="1">
      <protection locked="0"/>
    </xf>
    <xf numFmtId="0" fontId="0" fillId="0" borderId="8" xfId="0" applyBorder="1" applyAlignment="1"/>
    <xf numFmtId="0" fontId="0" fillId="0" borderId="5" xfId="0" applyBorder="1" applyAlignment="1"/>
    <xf numFmtId="46" fontId="0" fillId="0" borderId="4" xfId="0" applyNumberFormat="1" applyBorder="1" applyAlignment="1" applyProtection="1">
      <protection locked="0"/>
    </xf>
  </cellXfs>
  <cellStyles count="30">
    <cellStyle name="Comma" xfId="28" builtinId="3"/>
    <cellStyle name="Currency" xfId="1" builtinId="4"/>
    <cellStyle name="Explanatory Text" xfId="29" builtinId="53"/>
    <cellStyle name="Followed Hyperlink" xfId="16" builtinId="9" hidden="1"/>
    <cellStyle name="Followed Hyperlink" xfId="17" builtinId="9" hidden="1"/>
    <cellStyle name="Followed Hyperlink" xfId="18" builtinId="9" hidden="1"/>
    <cellStyle name="Followed Hyperlink" xfId="20" builtinId="9" hidden="1"/>
    <cellStyle name="Followed Hyperlink" xfId="21" builtinId="9" hidden="1"/>
    <cellStyle name="Followed Hyperlink" xfId="23" builtinId="9" hidden="1"/>
    <cellStyle name="Followed Hyperlink" xfId="25" builtinId="9" hidden="1"/>
    <cellStyle name="Followed Hyperlink" xfId="26" builtinId="9" hidden="1"/>
    <cellStyle name="Followed Hyperlink" xfId="24" builtinId="9" hidden="1"/>
    <cellStyle name="Followed Hyperlink" xfId="19" builtinId="9" hidden="1"/>
    <cellStyle name="Followed Hyperlink" xfId="15" builtinId="9" hidden="1"/>
    <cellStyle name="Followed Hyperlink" xfId="8" builtinId="9" hidden="1"/>
    <cellStyle name="Followed Hyperlink" xfId="9" builtinId="9" hidden="1"/>
    <cellStyle name="Followed Hyperlink" xfId="11" builtinId="9" hidden="1"/>
    <cellStyle name="Followed Hyperlink" xfId="12" builtinId="9" hidden="1"/>
    <cellStyle name="Followed Hyperlink" xfId="13" builtinId="9" hidden="1"/>
    <cellStyle name="Followed Hyperlink" xfId="10" builtinId="9" hidden="1"/>
    <cellStyle name="Followed Hyperlink" xfId="6" builtinId="9" hidden="1"/>
    <cellStyle name="Followed Hyperlink" xfId="7" builtinId="9" hidden="1"/>
    <cellStyle name="Followed Hyperlink" xfId="5" builtinId="9" hidden="1"/>
    <cellStyle name="Followed Hyperlink" xfId="4" builtinId="9" hidden="1"/>
    <cellStyle name="Hyperlink" xfId="2" builtinId="8"/>
    <cellStyle name="Normal" xfId="0" builtinId="0"/>
    <cellStyle name="Normal 2" xfId="27" xr:uid="{B2B2C3EF-CCA7-4883-A1DE-53CF530FB87C}"/>
    <cellStyle name="Normal 3" xfId="14" xr:uid="{00000000-0005-0000-0000-000018000000}"/>
    <cellStyle name="Normal 5" xfId="22" xr:uid="{00000000-0005-0000-0000-000019000000}"/>
    <cellStyle name="Percent"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123825</xdr:colOff>
      <xdr:row>45</xdr:row>
      <xdr:rowOff>180975</xdr:rowOff>
    </xdr:to>
    <xdr:sp macro="" textlink="">
      <xdr:nvSpPr>
        <xdr:cNvPr id="2" name="AutoShape 13">
          <a:extLst>
            <a:ext uri="{FF2B5EF4-FFF2-40B4-BE49-F238E27FC236}">
              <a16:creationId xmlns:a16="http://schemas.microsoft.com/office/drawing/2014/main" id="{EC02D964-EAB1-42A7-88EF-F61556B69ACD}"/>
            </a:ext>
          </a:extLst>
        </xdr:cNvPr>
        <xdr:cNvSpPr>
          <a:spLocks noChangeArrowheads="1"/>
        </xdr:cNvSpPr>
      </xdr:nvSpPr>
      <xdr:spPr bwMode="auto">
        <a:xfrm>
          <a:off x="0" y="0"/>
          <a:ext cx="10182225"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533400</xdr:colOff>
      <xdr:row>46</xdr:row>
      <xdr:rowOff>88900</xdr:rowOff>
    </xdr:to>
    <xdr:sp macro="" textlink="">
      <xdr:nvSpPr>
        <xdr:cNvPr id="3" name="AutoShape 13">
          <a:extLst>
            <a:ext uri="{FF2B5EF4-FFF2-40B4-BE49-F238E27FC236}">
              <a16:creationId xmlns:a16="http://schemas.microsoft.com/office/drawing/2014/main" id="{2F102D13-789F-4DFD-885C-3F92205C71D0}"/>
            </a:ext>
          </a:extLst>
        </xdr:cNvPr>
        <xdr:cNvSpPr>
          <a:spLocks noChangeArrowheads="1"/>
        </xdr:cNvSpPr>
      </xdr:nvSpPr>
      <xdr:spPr bwMode="auto">
        <a:xfrm>
          <a:off x="0" y="0"/>
          <a:ext cx="9067800" cy="9623425"/>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12</xdr:col>
      <xdr:colOff>533400</xdr:colOff>
      <xdr:row>46</xdr:row>
      <xdr:rowOff>88900</xdr:rowOff>
    </xdr:to>
    <xdr:sp macro="" textlink="">
      <xdr:nvSpPr>
        <xdr:cNvPr id="4" name="AutoShape 13">
          <a:extLst>
            <a:ext uri="{FF2B5EF4-FFF2-40B4-BE49-F238E27FC236}">
              <a16:creationId xmlns:a16="http://schemas.microsoft.com/office/drawing/2014/main" id="{6CCDAC78-B465-443E-9CFD-7D7922B44D66}"/>
            </a:ext>
          </a:extLst>
        </xdr:cNvPr>
        <xdr:cNvSpPr>
          <a:spLocks noChangeArrowheads="1"/>
        </xdr:cNvSpPr>
      </xdr:nvSpPr>
      <xdr:spPr bwMode="auto">
        <a:xfrm>
          <a:off x="0" y="0"/>
          <a:ext cx="9067800" cy="9623425"/>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14</xdr:col>
      <xdr:colOff>152400</xdr:colOff>
      <xdr:row>45</xdr:row>
      <xdr:rowOff>180975</xdr:rowOff>
    </xdr:to>
    <xdr:sp macro="" textlink="">
      <xdr:nvSpPr>
        <xdr:cNvPr id="5" name="AutoShape 13">
          <a:extLst>
            <a:ext uri="{FF2B5EF4-FFF2-40B4-BE49-F238E27FC236}">
              <a16:creationId xmlns:a16="http://schemas.microsoft.com/office/drawing/2014/main" id="{3ED083C8-4A0E-4D89-9A34-4A07E3639022}"/>
            </a:ext>
          </a:extLst>
        </xdr:cNvPr>
        <xdr:cNvSpPr>
          <a:spLocks noChangeArrowheads="1"/>
        </xdr:cNvSpPr>
      </xdr:nvSpPr>
      <xdr:spPr bwMode="auto">
        <a:xfrm>
          <a:off x="0" y="0"/>
          <a:ext cx="102108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152400</xdr:colOff>
      <xdr:row>45</xdr:row>
      <xdr:rowOff>180975</xdr:rowOff>
    </xdr:to>
    <xdr:sp macro="" textlink="">
      <xdr:nvSpPr>
        <xdr:cNvPr id="6" name="AutoShape 13">
          <a:extLst>
            <a:ext uri="{FF2B5EF4-FFF2-40B4-BE49-F238E27FC236}">
              <a16:creationId xmlns:a16="http://schemas.microsoft.com/office/drawing/2014/main" id="{F9312688-6BD9-4159-943B-07CFF79D8C9D}"/>
            </a:ext>
          </a:extLst>
        </xdr:cNvPr>
        <xdr:cNvSpPr>
          <a:spLocks noChangeArrowheads="1"/>
        </xdr:cNvSpPr>
      </xdr:nvSpPr>
      <xdr:spPr bwMode="auto">
        <a:xfrm>
          <a:off x="0" y="0"/>
          <a:ext cx="102108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152400</xdr:colOff>
      <xdr:row>45</xdr:row>
      <xdr:rowOff>180975</xdr:rowOff>
    </xdr:to>
    <xdr:sp macro="" textlink="">
      <xdr:nvSpPr>
        <xdr:cNvPr id="7" name="AutoShape 13">
          <a:extLst>
            <a:ext uri="{FF2B5EF4-FFF2-40B4-BE49-F238E27FC236}">
              <a16:creationId xmlns:a16="http://schemas.microsoft.com/office/drawing/2014/main" id="{32910E62-9DEF-4518-B439-3FEF995FA897}"/>
            </a:ext>
          </a:extLst>
        </xdr:cNvPr>
        <xdr:cNvSpPr>
          <a:spLocks noChangeArrowheads="1"/>
        </xdr:cNvSpPr>
      </xdr:nvSpPr>
      <xdr:spPr bwMode="auto">
        <a:xfrm>
          <a:off x="0" y="0"/>
          <a:ext cx="102108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123825</xdr:colOff>
      <xdr:row>46</xdr:row>
      <xdr:rowOff>180975</xdr:rowOff>
    </xdr:to>
    <xdr:sp macro="" textlink="">
      <xdr:nvSpPr>
        <xdr:cNvPr id="8" name="AutoShape 13">
          <a:extLst>
            <a:ext uri="{FF2B5EF4-FFF2-40B4-BE49-F238E27FC236}">
              <a16:creationId xmlns:a16="http://schemas.microsoft.com/office/drawing/2014/main" id="{B6A15A82-3D12-4A6F-A878-0BDE631B171F}"/>
            </a:ext>
          </a:extLst>
        </xdr:cNvPr>
        <xdr:cNvSpPr>
          <a:spLocks noChangeArrowheads="1"/>
        </xdr:cNvSpPr>
      </xdr:nvSpPr>
      <xdr:spPr bwMode="auto">
        <a:xfrm>
          <a:off x="0" y="0"/>
          <a:ext cx="10182225" cy="9772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533400</xdr:colOff>
      <xdr:row>47</xdr:row>
      <xdr:rowOff>88900</xdr:rowOff>
    </xdr:to>
    <xdr:sp macro="" textlink="">
      <xdr:nvSpPr>
        <xdr:cNvPr id="9" name="AutoShape 13">
          <a:extLst>
            <a:ext uri="{FF2B5EF4-FFF2-40B4-BE49-F238E27FC236}">
              <a16:creationId xmlns:a16="http://schemas.microsoft.com/office/drawing/2014/main" id="{6E220418-E1BD-4DFF-B2AB-83F93030FB30}"/>
            </a:ext>
          </a:extLst>
        </xdr:cNvPr>
        <xdr:cNvSpPr>
          <a:spLocks noChangeArrowheads="1"/>
        </xdr:cNvSpPr>
      </xdr:nvSpPr>
      <xdr:spPr bwMode="auto">
        <a:xfrm>
          <a:off x="0" y="0"/>
          <a:ext cx="9067800" cy="9871075"/>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12</xdr:col>
      <xdr:colOff>533400</xdr:colOff>
      <xdr:row>47</xdr:row>
      <xdr:rowOff>88900</xdr:rowOff>
    </xdr:to>
    <xdr:sp macro="" textlink="">
      <xdr:nvSpPr>
        <xdr:cNvPr id="10" name="AutoShape 13">
          <a:extLst>
            <a:ext uri="{FF2B5EF4-FFF2-40B4-BE49-F238E27FC236}">
              <a16:creationId xmlns:a16="http://schemas.microsoft.com/office/drawing/2014/main" id="{CCA92338-1C29-4600-B75C-53422A9F5587}"/>
            </a:ext>
          </a:extLst>
        </xdr:cNvPr>
        <xdr:cNvSpPr>
          <a:spLocks noChangeArrowheads="1"/>
        </xdr:cNvSpPr>
      </xdr:nvSpPr>
      <xdr:spPr bwMode="auto">
        <a:xfrm>
          <a:off x="0" y="0"/>
          <a:ext cx="9067800" cy="9871075"/>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14</xdr:col>
      <xdr:colOff>152400</xdr:colOff>
      <xdr:row>46</xdr:row>
      <xdr:rowOff>180975</xdr:rowOff>
    </xdr:to>
    <xdr:sp macro="" textlink="">
      <xdr:nvSpPr>
        <xdr:cNvPr id="11" name="AutoShape 13">
          <a:extLst>
            <a:ext uri="{FF2B5EF4-FFF2-40B4-BE49-F238E27FC236}">
              <a16:creationId xmlns:a16="http://schemas.microsoft.com/office/drawing/2014/main" id="{84B77F6D-C7BD-4E69-BC7C-F490F2F0EBE2}"/>
            </a:ext>
          </a:extLst>
        </xdr:cNvPr>
        <xdr:cNvSpPr>
          <a:spLocks noChangeArrowheads="1"/>
        </xdr:cNvSpPr>
      </xdr:nvSpPr>
      <xdr:spPr bwMode="auto">
        <a:xfrm>
          <a:off x="0" y="0"/>
          <a:ext cx="10210800" cy="977265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152400</xdr:colOff>
      <xdr:row>46</xdr:row>
      <xdr:rowOff>180975</xdr:rowOff>
    </xdr:to>
    <xdr:sp macro="" textlink="">
      <xdr:nvSpPr>
        <xdr:cNvPr id="12" name="AutoShape 13">
          <a:extLst>
            <a:ext uri="{FF2B5EF4-FFF2-40B4-BE49-F238E27FC236}">
              <a16:creationId xmlns:a16="http://schemas.microsoft.com/office/drawing/2014/main" id="{5C06809D-E8BC-4BA3-8E4B-402FAA2B5BEE}"/>
            </a:ext>
          </a:extLst>
        </xdr:cNvPr>
        <xdr:cNvSpPr>
          <a:spLocks noChangeArrowheads="1"/>
        </xdr:cNvSpPr>
      </xdr:nvSpPr>
      <xdr:spPr bwMode="auto">
        <a:xfrm>
          <a:off x="0" y="0"/>
          <a:ext cx="10210800" cy="9772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152400</xdr:colOff>
      <xdr:row>46</xdr:row>
      <xdr:rowOff>180975</xdr:rowOff>
    </xdr:to>
    <xdr:sp macro="" textlink="">
      <xdr:nvSpPr>
        <xdr:cNvPr id="13" name="AutoShape 13">
          <a:extLst>
            <a:ext uri="{FF2B5EF4-FFF2-40B4-BE49-F238E27FC236}">
              <a16:creationId xmlns:a16="http://schemas.microsoft.com/office/drawing/2014/main" id="{B0B19039-DCB3-42DC-A01A-174C03358322}"/>
            </a:ext>
          </a:extLst>
        </xdr:cNvPr>
        <xdr:cNvSpPr>
          <a:spLocks noChangeArrowheads="1"/>
        </xdr:cNvSpPr>
      </xdr:nvSpPr>
      <xdr:spPr bwMode="auto">
        <a:xfrm>
          <a:off x="0" y="0"/>
          <a:ext cx="10210800" cy="97726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444500</xdr:colOff>
      <xdr:row>46</xdr:row>
      <xdr:rowOff>76200</xdr:rowOff>
    </xdr:to>
    <xdr:sp macro="" textlink="">
      <xdr:nvSpPr>
        <xdr:cNvPr id="14" name="AutoShape 13">
          <a:extLst>
            <a:ext uri="{FF2B5EF4-FFF2-40B4-BE49-F238E27FC236}">
              <a16:creationId xmlns:a16="http://schemas.microsoft.com/office/drawing/2014/main" id="{072EA513-646E-4696-A440-6B23164185B9}"/>
            </a:ext>
          </a:extLst>
        </xdr:cNvPr>
        <xdr:cNvSpPr>
          <a:spLocks noChangeArrowheads="1"/>
        </xdr:cNvSpPr>
      </xdr:nvSpPr>
      <xdr:spPr bwMode="auto">
        <a:xfrm>
          <a:off x="0" y="0"/>
          <a:ext cx="8978900" cy="9667875"/>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14</xdr:col>
      <xdr:colOff>152400</xdr:colOff>
      <xdr:row>45</xdr:row>
      <xdr:rowOff>171450</xdr:rowOff>
    </xdr:to>
    <xdr:sp macro="" textlink="">
      <xdr:nvSpPr>
        <xdr:cNvPr id="15" name="AutoShape 13">
          <a:extLst>
            <a:ext uri="{FF2B5EF4-FFF2-40B4-BE49-F238E27FC236}">
              <a16:creationId xmlns:a16="http://schemas.microsoft.com/office/drawing/2014/main" id="{72D42455-8DA6-459E-BC60-E67F1FB97B97}"/>
            </a:ext>
          </a:extLst>
        </xdr:cNvPr>
        <xdr:cNvSpPr>
          <a:spLocks noChangeArrowheads="1"/>
        </xdr:cNvSpPr>
      </xdr:nvSpPr>
      <xdr:spPr bwMode="auto">
        <a:xfrm>
          <a:off x="0" y="0"/>
          <a:ext cx="10210800" cy="95726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152400</xdr:colOff>
      <xdr:row>45</xdr:row>
      <xdr:rowOff>171450</xdr:rowOff>
    </xdr:to>
    <xdr:sp macro="" textlink="">
      <xdr:nvSpPr>
        <xdr:cNvPr id="16" name="AutoShape 13">
          <a:extLst>
            <a:ext uri="{FF2B5EF4-FFF2-40B4-BE49-F238E27FC236}">
              <a16:creationId xmlns:a16="http://schemas.microsoft.com/office/drawing/2014/main" id="{860C3BA5-3455-43CF-A32E-FD72152BF0EE}"/>
            </a:ext>
          </a:extLst>
        </xdr:cNvPr>
        <xdr:cNvSpPr>
          <a:spLocks noChangeArrowheads="1"/>
        </xdr:cNvSpPr>
      </xdr:nvSpPr>
      <xdr:spPr bwMode="auto">
        <a:xfrm>
          <a:off x="0" y="0"/>
          <a:ext cx="10210800" cy="95726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123825</xdr:colOff>
      <xdr:row>46</xdr:row>
      <xdr:rowOff>180975</xdr:rowOff>
    </xdr:to>
    <xdr:sp macro="" textlink="">
      <xdr:nvSpPr>
        <xdr:cNvPr id="17" name="AutoShape 13">
          <a:extLst>
            <a:ext uri="{FF2B5EF4-FFF2-40B4-BE49-F238E27FC236}">
              <a16:creationId xmlns:a16="http://schemas.microsoft.com/office/drawing/2014/main" id="{A2086382-639E-4ECF-9BE8-EB87988BC5D7}"/>
            </a:ext>
          </a:extLst>
        </xdr:cNvPr>
        <xdr:cNvSpPr>
          <a:spLocks noChangeArrowheads="1"/>
        </xdr:cNvSpPr>
      </xdr:nvSpPr>
      <xdr:spPr bwMode="auto">
        <a:xfrm>
          <a:off x="0" y="0"/>
          <a:ext cx="10464165" cy="849439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533400</xdr:colOff>
      <xdr:row>47</xdr:row>
      <xdr:rowOff>88900</xdr:rowOff>
    </xdr:to>
    <xdr:sp macro="" textlink="">
      <xdr:nvSpPr>
        <xdr:cNvPr id="18" name="AutoShape 13">
          <a:extLst>
            <a:ext uri="{FF2B5EF4-FFF2-40B4-BE49-F238E27FC236}">
              <a16:creationId xmlns:a16="http://schemas.microsoft.com/office/drawing/2014/main" id="{46CA687B-776B-4E82-A455-60310AAF40EF}"/>
            </a:ext>
          </a:extLst>
        </xdr:cNvPr>
        <xdr:cNvSpPr>
          <a:spLocks noChangeArrowheads="1"/>
        </xdr:cNvSpPr>
      </xdr:nvSpPr>
      <xdr:spPr bwMode="auto">
        <a:xfrm>
          <a:off x="0" y="0"/>
          <a:ext cx="9304020" cy="85852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12</xdr:col>
      <xdr:colOff>533400</xdr:colOff>
      <xdr:row>47</xdr:row>
      <xdr:rowOff>88900</xdr:rowOff>
    </xdr:to>
    <xdr:sp macro="" textlink="">
      <xdr:nvSpPr>
        <xdr:cNvPr id="19" name="AutoShape 13">
          <a:extLst>
            <a:ext uri="{FF2B5EF4-FFF2-40B4-BE49-F238E27FC236}">
              <a16:creationId xmlns:a16="http://schemas.microsoft.com/office/drawing/2014/main" id="{64C5BDD9-A3E2-4FF5-941D-7A7991FB9C21}"/>
            </a:ext>
          </a:extLst>
        </xdr:cNvPr>
        <xdr:cNvSpPr>
          <a:spLocks noChangeArrowheads="1"/>
        </xdr:cNvSpPr>
      </xdr:nvSpPr>
      <xdr:spPr bwMode="auto">
        <a:xfrm>
          <a:off x="0" y="0"/>
          <a:ext cx="9304020" cy="85852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14</xdr:col>
      <xdr:colOff>152400</xdr:colOff>
      <xdr:row>46</xdr:row>
      <xdr:rowOff>180975</xdr:rowOff>
    </xdr:to>
    <xdr:sp macro="" textlink="">
      <xdr:nvSpPr>
        <xdr:cNvPr id="20" name="AutoShape 13">
          <a:extLst>
            <a:ext uri="{FF2B5EF4-FFF2-40B4-BE49-F238E27FC236}">
              <a16:creationId xmlns:a16="http://schemas.microsoft.com/office/drawing/2014/main" id="{BB9EF38E-E6ED-41D2-BEF4-E9EA0D7CEB66}"/>
            </a:ext>
          </a:extLst>
        </xdr:cNvPr>
        <xdr:cNvSpPr>
          <a:spLocks noChangeArrowheads="1"/>
        </xdr:cNvSpPr>
      </xdr:nvSpPr>
      <xdr:spPr bwMode="auto">
        <a:xfrm>
          <a:off x="0" y="0"/>
          <a:ext cx="10492740" cy="849439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152400</xdr:colOff>
      <xdr:row>46</xdr:row>
      <xdr:rowOff>180975</xdr:rowOff>
    </xdr:to>
    <xdr:sp macro="" textlink="">
      <xdr:nvSpPr>
        <xdr:cNvPr id="21" name="AutoShape 13">
          <a:extLst>
            <a:ext uri="{FF2B5EF4-FFF2-40B4-BE49-F238E27FC236}">
              <a16:creationId xmlns:a16="http://schemas.microsoft.com/office/drawing/2014/main" id="{192C103F-9A0B-470E-BC3D-FC79F5FC3840}"/>
            </a:ext>
          </a:extLst>
        </xdr:cNvPr>
        <xdr:cNvSpPr>
          <a:spLocks noChangeArrowheads="1"/>
        </xdr:cNvSpPr>
      </xdr:nvSpPr>
      <xdr:spPr bwMode="auto">
        <a:xfrm>
          <a:off x="0" y="0"/>
          <a:ext cx="10492740" cy="849439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152400</xdr:colOff>
      <xdr:row>46</xdr:row>
      <xdr:rowOff>180975</xdr:rowOff>
    </xdr:to>
    <xdr:sp macro="" textlink="">
      <xdr:nvSpPr>
        <xdr:cNvPr id="22" name="AutoShape 13">
          <a:extLst>
            <a:ext uri="{FF2B5EF4-FFF2-40B4-BE49-F238E27FC236}">
              <a16:creationId xmlns:a16="http://schemas.microsoft.com/office/drawing/2014/main" id="{E13FBDB7-BADC-4F28-ADB3-BEF532B6DE44}"/>
            </a:ext>
          </a:extLst>
        </xdr:cNvPr>
        <xdr:cNvSpPr>
          <a:spLocks noChangeArrowheads="1"/>
        </xdr:cNvSpPr>
      </xdr:nvSpPr>
      <xdr:spPr bwMode="auto">
        <a:xfrm>
          <a:off x="0" y="0"/>
          <a:ext cx="10492740" cy="849439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123825</xdr:colOff>
      <xdr:row>47</xdr:row>
      <xdr:rowOff>180975</xdr:rowOff>
    </xdr:to>
    <xdr:sp macro="" textlink="">
      <xdr:nvSpPr>
        <xdr:cNvPr id="23" name="AutoShape 13">
          <a:extLst>
            <a:ext uri="{FF2B5EF4-FFF2-40B4-BE49-F238E27FC236}">
              <a16:creationId xmlns:a16="http://schemas.microsoft.com/office/drawing/2014/main" id="{BDF3868D-9949-4A78-8357-608CC51E48F3}"/>
            </a:ext>
          </a:extLst>
        </xdr:cNvPr>
        <xdr:cNvSpPr>
          <a:spLocks noChangeArrowheads="1"/>
        </xdr:cNvSpPr>
      </xdr:nvSpPr>
      <xdr:spPr bwMode="auto">
        <a:xfrm>
          <a:off x="0" y="0"/>
          <a:ext cx="10464165" cy="86772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533400</xdr:colOff>
      <xdr:row>48</xdr:row>
      <xdr:rowOff>88900</xdr:rowOff>
    </xdr:to>
    <xdr:sp macro="" textlink="">
      <xdr:nvSpPr>
        <xdr:cNvPr id="24" name="AutoShape 13">
          <a:extLst>
            <a:ext uri="{FF2B5EF4-FFF2-40B4-BE49-F238E27FC236}">
              <a16:creationId xmlns:a16="http://schemas.microsoft.com/office/drawing/2014/main" id="{4B039EF6-D308-4BBE-A93B-CBFDFC1933BA}"/>
            </a:ext>
          </a:extLst>
        </xdr:cNvPr>
        <xdr:cNvSpPr>
          <a:spLocks noChangeArrowheads="1"/>
        </xdr:cNvSpPr>
      </xdr:nvSpPr>
      <xdr:spPr bwMode="auto">
        <a:xfrm>
          <a:off x="0" y="0"/>
          <a:ext cx="9304020" cy="876808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12</xdr:col>
      <xdr:colOff>533400</xdr:colOff>
      <xdr:row>48</xdr:row>
      <xdr:rowOff>88900</xdr:rowOff>
    </xdr:to>
    <xdr:sp macro="" textlink="">
      <xdr:nvSpPr>
        <xdr:cNvPr id="25" name="AutoShape 13">
          <a:extLst>
            <a:ext uri="{FF2B5EF4-FFF2-40B4-BE49-F238E27FC236}">
              <a16:creationId xmlns:a16="http://schemas.microsoft.com/office/drawing/2014/main" id="{5B451370-7F37-43F4-8BFA-2D6AC91E9112}"/>
            </a:ext>
          </a:extLst>
        </xdr:cNvPr>
        <xdr:cNvSpPr>
          <a:spLocks noChangeArrowheads="1"/>
        </xdr:cNvSpPr>
      </xdr:nvSpPr>
      <xdr:spPr bwMode="auto">
        <a:xfrm>
          <a:off x="0" y="0"/>
          <a:ext cx="9304020" cy="876808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14</xdr:col>
      <xdr:colOff>152400</xdr:colOff>
      <xdr:row>47</xdr:row>
      <xdr:rowOff>180975</xdr:rowOff>
    </xdr:to>
    <xdr:sp macro="" textlink="">
      <xdr:nvSpPr>
        <xdr:cNvPr id="26" name="AutoShape 13">
          <a:extLst>
            <a:ext uri="{FF2B5EF4-FFF2-40B4-BE49-F238E27FC236}">
              <a16:creationId xmlns:a16="http://schemas.microsoft.com/office/drawing/2014/main" id="{33BF22D9-0B27-43D4-A533-26FF93E9A7F5}"/>
            </a:ext>
          </a:extLst>
        </xdr:cNvPr>
        <xdr:cNvSpPr>
          <a:spLocks noChangeArrowheads="1"/>
        </xdr:cNvSpPr>
      </xdr:nvSpPr>
      <xdr:spPr bwMode="auto">
        <a:xfrm>
          <a:off x="0" y="0"/>
          <a:ext cx="10492740" cy="86772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152400</xdr:colOff>
      <xdr:row>47</xdr:row>
      <xdr:rowOff>180975</xdr:rowOff>
    </xdr:to>
    <xdr:sp macro="" textlink="">
      <xdr:nvSpPr>
        <xdr:cNvPr id="27" name="AutoShape 13">
          <a:extLst>
            <a:ext uri="{FF2B5EF4-FFF2-40B4-BE49-F238E27FC236}">
              <a16:creationId xmlns:a16="http://schemas.microsoft.com/office/drawing/2014/main" id="{5AC43257-2847-4DED-A43F-EC148788FDFF}"/>
            </a:ext>
          </a:extLst>
        </xdr:cNvPr>
        <xdr:cNvSpPr>
          <a:spLocks noChangeArrowheads="1"/>
        </xdr:cNvSpPr>
      </xdr:nvSpPr>
      <xdr:spPr bwMode="auto">
        <a:xfrm>
          <a:off x="0" y="0"/>
          <a:ext cx="10492740" cy="86772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152400</xdr:colOff>
      <xdr:row>47</xdr:row>
      <xdr:rowOff>180975</xdr:rowOff>
    </xdr:to>
    <xdr:sp macro="" textlink="">
      <xdr:nvSpPr>
        <xdr:cNvPr id="28" name="AutoShape 13">
          <a:extLst>
            <a:ext uri="{FF2B5EF4-FFF2-40B4-BE49-F238E27FC236}">
              <a16:creationId xmlns:a16="http://schemas.microsoft.com/office/drawing/2014/main" id="{5E02F709-C148-4AC8-82F9-FFBFF077A8E3}"/>
            </a:ext>
          </a:extLst>
        </xdr:cNvPr>
        <xdr:cNvSpPr>
          <a:spLocks noChangeArrowheads="1"/>
        </xdr:cNvSpPr>
      </xdr:nvSpPr>
      <xdr:spPr bwMode="auto">
        <a:xfrm>
          <a:off x="0" y="0"/>
          <a:ext cx="10492740" cy="86772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444500</xdr:colOff>
      <xdr:row>47</xdr:row>
      <xdr:rowOff>76200</xdr:rowOff>
    </xdr:to>
    <xdr:sp macro="" textlink="">
      <xdr:nvSpPr>
        <xdr:cNvPr id="29" name="AutoShape 13">
          <a:extLst>
            <a:ext uri="{FF2B5EF4-FFF2-40B4-BE49-F238E27FC236}">
              <a16:creationId xmlns:a16="http://schemas.microsoft.com/office/drawing/2014/main" id="{5B61E9D7-5994-4B2A-B5C7-E941CA6F75F0}"/>
            </a:ext>
          </a:extLst>
        </xdr:cNvPr>
        <xdr:cNvSpPr>
          <a:spLocks noChangeArrowheads="1"/>
        </xdr:cNvSpPr>
      </xdr:nvSpPr>
      <xdr:spPr bwMode="auto">
        <a:xfrm>
          <a:off x="0" y="0"/>
          <a:ext cx="9215120" cy="85725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14</xdr:col>
      <xdr:colOff>152400</xdr:colOff>
      <xdr:row>46</xdr:row>
      <xdr:rowOff>171450</xdr:rowOff>
    </xdr:to>
    <xdr:sp macro="" textlink="">
      <xdr:nvSpPr>
        <xdr:cNvPr id="30" name="AutoShape 13">
          <a:extLst>
            <a:ext uri="{FF2B5EF4-FFF2-40B4-BE49-F238E27FC236}">
              <a16:creationId xmlns:a16="http://schemas.microsoft.com/office/drawing/2014/main" id="{F0ADE418-92F9-44B6-AE0D-A08F65415D20}"/>
            </a:ext>
          </a:extLst>
        </xdr:cNvPr>
        <xdr:cNvSpPr>
          <a:spLocks noChangeArrowheads="1"/>
        </xdr:cNvSpPr>
      </xdr:nvSpPr>
      <xdr:spPr bwMode="auto">
        <a:xfrm>
          <a:off x="0" y="0"/>
          <a:ext cx="10492740" cy="848487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14</xdr:col>
      <xdr:colOff>152400</xdr:colOff>
      <xdr:row>46</xdr:row>
      <xdr:rowOff>171450</xdr:rowOff>
    </xdr:to>
    <xdr:sp macro="" textlink="">
      <xdr:nvSpPr>
        <xdr:cNvPr id="31" name="AutoShape 13">
          <a:extLst>
            <a:ext uri="{FF2B5EF4-FFF2-40B4-BE49-F238E27FC236}">
              <a16:creationId xmlns:a16="http://schemas.microsoft.com/office/drawing/2014/main" id="{76D059B9-9DE7-4E92-B086-2A24A09D0021}"/>
            </a:ext>
          </a:extLst>
        </xdr:cNvPr>
        <xdr:cNvSpPr>
          <a:spLocks noChangeArrowheads="1"/>
        </xdr:cNvSpPr>
      </xdr:nvSpPr>
      <xdr:spPr bwMode="auto">
        <a:xfrm>
          <a:off x="0" y="0"/>
          <a:ext cx="10492740" cy="8484870"/>
        </a:xfrm>
        <a:custGeom>
          <a:avLst/>
          <a:gdLst/>
          <a:ahLst/>
          <a:cxnLst/>
          <a:rect l="0" t="0" r="0" b="0"/>
          <a:pathLst/>
        </a:custGeom>
        <a:solidFill>
          <a:srgbClr val="FFFFFF"/>
        </a:solidFill>
        <a:ln w="9525">
          <a:solidFill>
            <a:srgbClr val="000000"/>
          </a:solidFill>
          <a:round/>
          <a:headEnd/>
          <a:tailEnd/>
        </a:ln>
      </xdr:spPr>
    </xdr:sp>
    <xdr:clientData/>
  </xdr:twoCellAnchor>
</xdr:wsDr>
</file>

<file path=xl/persons/person.xml><?xml version="1.0" encoding="utf-8"?>
<personList xmlns="http://schemas.microsoft.com/office/spreadsheetml/2018/threadedcomments" xmlns:x="http://schemas.openxmlformats.org/spreadsheetml/2006/main">
  <person displayName="Karen O'Brien" id="{AFECB56B-16BB-4514-8A88-13E8A8B139E3}" userId="S::kobrien@ala.org::06be3196-2fec-4ced-bb50-45180c9a8b0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3" dT="2020-02-19T17:02:59.90" personId="{AFECB56B-16BB-4514-8A88-13E8A8B139E3}" id="{B64E62C7-CB38-49FD-BB0A-B3E46C34C956}">
    <text>Income Parent Institution includes: federal grants/contracts, CE activities, endowment/trust funds, state/provincial grants/contracts.  We moved grants that were reported in previous years in cell V3 to U3 based on this instruction, and we do not currently have any industry funded grants or other sources of funding that fall outside the scope of Income Parent Institution. Therefore, in cell V3 we reported zero.</text>
  </threadedComment>
  <threadedComment ref="V6" dT="2020-02-19T17:02:59.90" personId="{AFECB56B-16BB-4514-8A88-13E8A8B139E3}" id="{873B1E28-64F9-428E-BA50-68031C155029}">
    <text>Income Parent Institution includes: federal grants/contracts, CE activities, endowment/trust funds, state/provincial grants/contracts.  We moved grants that were reported in previous years in cell V3 to U3 based on this instruction, and we do not currently have any industry funded grants or other sources of funding that fall outside the scope of Income Parent Institution. Therefore, in cell V3 we reported zero.</text>
  </threadedComment>
</ThreadedComments>
</file>

<file path=xl/threadedComments/threadedComment2.xml><?xml version="1.0" encoding="utf-8"?>
<ThreadedComments xmlns="http://schemas.microsoft.com/office/spreadsheetml/2018/threadedcomments" xmlns:x="http://schemas.openxmlformats.org/spreadsheetml/2006/main">
  <threadedComment ref="C6" dT="2020-02-20T15:25:56.35" personId="{AFECB56B-16BB-4514-8A88-13E8A8B139E3}" id="{0E659DE3-B71C-407A-BED4-BA9FF8C02173}">
    <text>02/18/20:  Increase from 18 PT FTE Faculty in 2018 to 29 in 2019 is due to the change in the undergraduate Computer Science and Information Science BS programs from upper-division to freshman-admitting students and more freshman-level courses being taught.</text>
  </threadedComment>
</ThreadedComments>
</file>

<file path=xl/threadedComments/threadedComment3.xml><?xml version="1.0" encoding="utf-8"?>
<ThreadedComments xmlns="http://schemas.microsoft.com/office/spreadsheetml/2018/threadedcomments" xmlns:x="http://schemas.openxmlformats.org/spreadsheetml/2006/main">
  <threadedComment ref="R6" dT="2020-02-26T21:11:53.59" personId="{AFECB56B-16BB-4514-8A88-13E8A8B139E3}" id="{0DF3DA48-4444-4E8C-A6BA-233A627C7E00}">
    <text>2019: Column O - This number is lower because the Health Sciences undergraduate program moved to the College of Public Health.</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35.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0.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17.bin"/><Relationship Id="rId4" Type="http://schemas.microsoft.com/office/2017/10/relationships/threadedComment" Target="../threadedComments/threadedComment2.xml"/></Relationships>
</file>

<file path=xl/worksheets/_rels/sheet41.xml.rels><?xml version="1.0" encoding="UTF-8" standalone="yes"?>
<Relationships xmlns="http://schemas.openxmlformats.org/package/2006/relationships"><Relationship Id="rId2" Type="http://schemas.openxmlformats.org/officeDocument/2006/relationships/comments" Target="../comments31.xml"/><Relationship Id="rId1" Type="http://schemas.openxmlformats.org/officeDocument/2006/relationships/vmlDrawing" Target="../drawings/vmlDrawing31.v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1.xml"/><Relationship Id="rId1" Type="http://schemas.openxmlformats.org/officeDocument/2006/relationships/printerSettings" Target="../printerSettings/printerSettings18.bin"/><Relationship Id="rId4" Type="http://schemas.openxmlformats.org/officeDocument/2006/relationships/comments" Target="../comments32.xml"/></Relationships>
</file>

<file path=xl/worksheets/_rels/sheet43.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5.xml.rels><?xml version="1.0" encoding="UTF-8" standalone="yes"?>
<Relationships xmlns="http://schemas.openxmlformats.org/package/2006/relationships"><Relationship Id="rId2" Type="http://schemas.openxmlformats.org/officeDocument/2006/relationships/comments" Target="../comments34.xml"/><Relationship Id="rId1" Type="http://schemas.openxmlformats.org/officeDocument/2006/relationships/vmlDrawing" Target="../drawings/vmlDrawing34.vml"/></Relationships>
</file>

<file path=xl/worksheets/_rels/sheet46.xml.rels><?xml version="1.0" encoding="UTF-8" standalone="yes"?>
<Relationships xmlns="http://schemas.openxmlformats.org/package/2006/relationships"><Relationship Id="rId2" Type="http://schemas.openxmlformats.org/officeDocument/2006/relationships/comments" Target="../comments35.xml"/><Relationship Id="rId1" Type="http://schemas.openxmlformats.org/officeDocument/2006/relationships/vmlDrawing" Target="../drawings/vmlDrawing35.vml"/></Relationships>
</file>

<file path=xl/worksheets/_rels/sheet47.xml.rels><?xml version="1.0" encoding="UTF-8" standalone="yes"?>
<Relationships xmlns="http://schemas.openxmlformats.org/package/2006/relationships"><Relationship Id="rId2" Type="http://schemas.openxmlformats.org/officeDocument/2006/relationships/comments" Target="../comments36.xml"/><Relationship Id="rId1" Type="http://schemas.openxmlformats.org/officeDocument/2006/relationships/vmlDrawing" Target="../drawings/vmlDrawing36.vml"/></Relationships>
</file>

<file path=xl/worksheets/_rels/sheet48.xml.rels><?xml version="1.0" encoding="UTF-8" standalone="yes"?>
<Relationships xmlns="http://schemas.openxmlformats.org/package/2006/relationships"><Relationship Id="rId2" Type="http://schemas.openxmlformats.org/officeDocument/2006/relationships/comments" Target="../comments37.xml"/><Relationship Id="rId1" Type="http://schemas.openxmlformats.org/officeDocument/2006/relationships/vmlDrawing" Target="../drawings/vmlDrawing37.vml"/></Relationships>
</file>

<file path=xl/worksheets/_rels/sheet49.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20.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2.xml.rels><?xml version="1.0" encoding="UTF-8" standalone="yes"?>
<Relationships xmlns="http://schemas.openxmlformats.org/package/2006/relationships"><Relationship Id="rId2" Type="http://schemas.openxmlformats.org/officeDocument/2006/relationships/comments" Target="../comments39.xml"/><Relationship Id="rId1" Type="http://schemas.openxmlformats.org/officeDocument/2006/relationships/vmlDrawing" Target="../drawings/vmlDrawing39.vml"/></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4.xml.rels><?xml version="1.0" encoding="UTF-8" standalone="yes"?>
<Relationships xmlns="http://schemas.openxmlformats.org/package/2006/relationships"><Relationship Id="rId2" Type="http://schemas.openxmlformats.org/officeDocument/2006/relationships/comments" Target="../comments40.xml"/><Relationship Id="rId1" Type="http://schemas.openxmlformats.org/officeDocument/2006/relationships/vmlDrawing" Target="../drawings/vmlDrawing40.vml"/></Relationships>
</file>

<file path=xl/worksheets/_rels/sheet55.xml.rels><?xml version="1.0" encoding="UTF-8" standalone="yes"?>
<Relationships xmlns="http://schemas.openxmlformats.org/package/2006/relationships"><Relationship Id="rId2" Type="http://schemas.openxmlformats.org/officeDocument/2006/relationships/comments" Target="../comments41.xml"/><Relationship Id="rId1" Type="http://schemas.openxmlformats.org/officeDocument/2006/relationships/vmlDrawing" Target="../drawings/vmlDrawing41.vml"/></Relationships>
</file>

<file path=xl/worksheets/_rels/sheet56.xml.rels><?xml version="1.0" encoding="UTF-8" standalone="yes"?>
<Relationships xmlns="http://schemas.openxmlformats.org/package/2006/relationships"><Relationship Id="rId2" Type="http://schemas.openxmlformats.org/officeDocument/2006/relationships/comments" Target="../comments42.xml"/><Relationship Id="rId1" Type="http://schemas.openxmlformats.org/officeDocument/2006/relationships/vmlDrawing" Target="../drawings/vmlDrawing42.vml"/></Relationships>
</file>

<file path=xl/worksheets/_rels/sheet57.xml.rels><?xml version="1.0" encoding="UTF-8" standalone="yes"?>
<Relationships xmlns="http://schemas.openxmlformats.org/package/2006/relationships"><Relationship Id="rId2" Type="http://schemas.openxmlformats.org/officeDocument/2006/relationships/comments" Target="../comments43.xml"/><Relationship Id="rId1" Type="http://schemas.openxmlformats.org/officeDocument/2006/relationships/vmlDrawing" Target="../drawings/vmlDrawing43.vml"/></Relationships>
</file>

<file path=xl/worksheets/_rels/sheet58.xml.rels><?xml version="1.0" encoding="UTF-8" standalone="yes"?>
<Relationships xmlns="http://schemas.openxmlformats.org/package/2006/relationships"><Relationship Id="rId2" Type="http://schemas.openxmlformats.org/officeDocument/2006/relationships/comments" Target="../comments44.xml"/><Relationship Id="rId1" Type="http://schemas.openxmlformats.org/officeDocument/2006/relationships/vmlDrawing" Target="../drawings/vmlDrawing44.vml"/></Relationships>
</file>

<file path=xl/worksheets/_rels/sheet59.xml.rels><?xml version="1.0" encoding="UTF-8" standalone="yes"?>
<Relationships xmlns="http://schemas.openxmlformats.org/package/2006/relationships"><Relationship Id="rId2" Type="http://schemas.openxmlformats.org/officeDocument/2006/relationships/comments" Target="../comments45.xml"/><Relationship Id="rId1" Type="http://schemas.openxmlformats.org/officeDocument/2006/relationships/vmlDrawing" Target="../drawings/vmlDrawing4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24.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25.bin"/></Relationships>
</file>

<file path=xl/worksheets/_rels/sheet63.xml.rels><?xml version="1.0" encoding="UTF-8" standalone="yes"?>
<Relationships xmlns="http://schemas.openxmlformats.org/package/2006/relationships"><Relationship Id="rId2" Type="http://schemas.openxmlformats.org/officeDocument/2006/relationships/comments" Target="../comments48.xml"/><Relationship Id="rId1" Type="http://schemas.openxmlformats.org/officeDocument/2006/relationships/vmlDrawing" Target="../drawings/vmlDrawing48.vml"/></Relationships>
</file>

<file path=xl/worksheets/_rels/sheet64.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26.bin"/></Relationships>
</file>

<file path=xl/worksheets/_rels/sheet65.xml.rels><?xml version="1.0" encoding="UTF-8" standalone="yes"?>
<Relationships xmlns="http://schemas.openxmlformats.org/package/2006/relationships"><Relationship Id="rId2" Type="http://schemas.openxmlformats.org/officeDocument/2006/relationships/comments" Target="../comments50.xml"/><Relationship Id="rId1" Type="http://schemas.openxmlformats.org/officeDocument/2006/relationships/vmlDrawing" Target="../drawings/vmlDrawing50.vml"/></Relationships>
</file>

<file path=xl/worksheets/_rels/sheet66.xml.rels><?xml version="1.0" encoding="UTF-8" standalone="yes"?>
<Relationships xmlns="http://schemas.openxmlformats.org/package/2006/relationships"><Relationship Id="rId2" Type="http://schemas.openxmlformats.org/officeDocument/2006/relationships/comments" Target="../comments51.xml"/><Relationship Id="rId1" Type="http://schemas.openxmlformats.org/officeDocument/2006/relationships/vmlDrawing" Target="../drawings/vmlDrawing5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tabSelected="1" workbookViewId="0">
      <selection activeCell="B2" sqref="B2"/>
    </sheetView>
  </sheetViews>
  <sheetFormatPr defaultRowHeight="15"/>
  <cols>
    <col min="2" max="2" width="13.5703125" customWidth="1"/>
    <col min="3" max="3" width="11.140625" customWidth="1"/>
  </cols>
  <sheetData>
    <row r="1" spans="1:3" ht="60">
      <c r="A1" s="278" t="s">
        <v>0</v>
      </c>
      <c r="B1" s="279" t="s">
        <v>1</v>
      </c>
      <c r="C1" s="279" t="s">
        <v>2</v>
      </c>
    </row>
    <row r="2" spans="1:3">
      <c r="A2" s="350">
        <v>2022</v>
      </c>
      <c r="B2" s="397">
        <f>SUM('Alabama:Wisconsin Milwaukee'!K3)</f>
        <v>19818</v>
      </c>
      <c r="C2" s="397">
        <f>SUM('Alabama:Wisconsin Milwaukee'!Q3)</f>
        <v>7249</v>
      </c>
    </row>
    <row r="3" spans="1:3">
      <c r="A3" s="350">
        <v>2021</v>
      </c>
      <c r="B3" s="397">
        <f>SUM('Alabama:Wisconsin Milwaukee'!K4)</f>
        <v>20322</v>
      </c>
      <c r="C3" s="397">
        <f>SUM('Alabama:Wisconsin Milwaukee'!Q4)</f>
        <v>7079</v>
      </c>
    </row>
    <row r="4" spans="1:3">
      <c r="A4" s="277">
        <v>2020</v>
      </c>
      <c r="B4" s="250">
        <f>SUM('Alabama:Wisconsin Milwaukee'!K5)</f>
        <v>19087</v>
      </c>
      <c r="C4" s="251">
        <f>SUM('Alabama:Wisconsin Milwaukee'!Q5)</f>
        <v>6335</v>
      </c>
    </row>
    <row r="5" spans="1:3">
      <c r="A5" s="277">
        <v>2019</v>
      </c>
      <c r="B5" s="250">
        <f>SUM('Alabama:Wisconsin Milwaukee'!K6)</f>
        <v>18002</v>
      </c>
      <c r="C5" s="251">
        <f>SUM('Alabama:Wisconsin Milwaukee'!Q6)</f>
        <v>6233</v>
      </c>
    </row>
    <row r="6" spans="1:3">
      <c r="A6" s="277">
        <v>2018</v>
      </c>
      <c r="B6" s="250">
        <f>SUM('Alabama:Wisconsin Milwaukee'!K7)</f>
        <v>16720</v>
      </c>
      <c r="C6" s="251">
        <f>SUM('Alabama:Wisconsin Milwaukee'!Q7)</f>
        <v>5993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L30"/>
  <sheetViews>
    <sheetView workbookViewId="0">
      <selection activeCell="G23" sqref="G23"/>
    </sheetView>
  </sheetViews>
  <sheetFormatPr defaultColWidth="8.85546875" defaultRowHeight="15"/>
  <cols>
    <col min="1" max="1" width="9.42578125" style="63" customWidth="1"/>
    <col min="2" max="2" width="7.85546875" style="63" customWidth="1"/>
    <col min="3" max="3" width="8.42578125" style="63" bestFit="1" customWidth="1"/>
    <col min="4" max="4" width="9.28515625" style="63" bestFit="1" customWidth="1"/>
    <col min="5" max="5" width="12.28515625" style="63" bestFit="1" customWidth="1"/>
    <col min="6" max="6" width="11.42578125" style="63" bestFit="1" customWidth="1"/>
    <col min="7" max="8" width="12.140625" style="63" customWidth="1"/>
    <col min="9" max="9" width="8.85546875" style="63" bestFit="1" customWidth="1"/>
    <col min="10" max="11" width="11.85546875" style="63" bestFit="1" customWidth="1"/>
    <col min="12" max="12" width="12.28515625" style="63" bestFit="1" customWidth="1"/>
    <col min="13" max="13" width="13.140625" style="63" bestFit="1" customWidth="1"/>
    <col min="14" max="14" width="10.85546875" style="63" customWidth="1"/>
    <col min="15" max="15" width="13.42578125" style="63" bestFit="1" customWidth="1"/>
    <col min="16" max="16" width="14.28515625" style="63" customWidth="1"/>
    <col min="17" max="17" width="12.42578125" style="63" bestFit="1" customWidth="1"/>
    <col min="18" max="18" width="9" style="63" bestFit="1" customWidth="1"/>
    <col min="19" max="19" width="11.85546875" style="63" bestFit="1" customWidth="1"/>
    <col min="20" max="20" width="12.85546875" style="63" bestFit="1" customWidth="1"/>
    <col min="21" max="21" width="10.28515625" style="63" bestFit="1" customWidth="1"/>
    <col min="22" max="22" width="10.85546875" style="63" bestFit="1" customWidth="1"/>
    <col min="23" max="23" width="12.85546875" style="63" bestFit="1" customWidth="1"/>
    <col min="24" max="16384" width="8.85546875" style="63"/>
  </cols>
  <sheetData>
    <row r="1" spans="1:220" s="1" customFormat="1" ht="18.75">
      <c r="A1" s="1" t="s">
        <v>59</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row>
    <row r="2" spans="1:220" s="3" customFormat="1" ht="60">
      <c r="A2" s="21" t="s">
        <v>4</v>
      </c>
      <c r="B2" s="21" t="s">
        <v>5</v>
      </c>
      <c r="C2" s="21" t="s">
        <v>6</v>
      </c>
      <c r="D2" s="21" t="s">
        <v>7</v>
      </c>
      <c r="E2" s="5" t="s">
        <v>8</v>
      </c>
      <c r="F2" s="21" t="s">
        <v>9</v>
      </c>
      <c r="G2" s="5" t="s">
        <v>10</v>
      </c>
      <c r="H2" s="5" t="s">
        <v>11</v>
      </c>
      <c r="I2" s="21" t="s">
        <v>12</v>
      </c>
      <c r="J2" s="21" t="s">
        <v>13</v>
      </c>
      <c r="K2" s="21" t="s">
        <v>1</v>
      </c>
      <c r="L2" s="21" t="s">
        <v>14</v>
      </c>
      <c r="M2" s="21" t="s">
        <v>15</v>
      </c>
      <c r="N2" s="21" t="s">
        <v>16</v>
      </c>
      <c r="O2" s="21" t="s">
        <v>17</v>
      </c>
      <c r="P2" s="21" t="s">
        <v>18</v>
      </c>
      <c r="Q2" s="21" t="s">
        <v>2</v>
      </c>
      <c r="R2" s="21" t="s">
        <v>19</v>
      </c>
      <c r="S2" s="21" t="s">
        <v>20</v>
      </c>
      <c r="T2" s="21" t="s">
        <v>21</v>
      </c>
      <c r="U2" s="21" t="s">
        <v>22</v>
      </c>
      <c r="V2" s="21" t="s">
        <v>23</v>
      </c>
      <c r="W2" s="21"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row>
    <row r="3" spans="1:220" s="3" customFormat="1">
      <c r="A3" s="10">
        <v>2022</v>
      </c>
      <c r="B3" s="54">
        <v>5</v>
      </c>
      <c r="C3" s="54">
        <v>0.38</v>
      </c>
      <c r="D3" s="23">
        <f t="shared" ref="D3" si="0">SUM(B3:C3)</f>
        <v>5.38</v>
      </c>
      <c r="E3" s="106">
        <v>14</v>
      </c>
      <c r="F3" s="19">
        <v>13</v>
      </c>
      <c r="G3" s="66">
        <v>4</v>
      </c>
      <c r="H3" s="66">
        <v>0</v>
      </c>
      <c r="I3" s="54">
        <v>16</v>
      </c>
      <c r="J3" s="54">
        <v>45</v>
      </c>
      <c r="K3" s="23">
        <f t="shared" ref="K3" si="1">SUM(I3:J3)</f>
        <v>61</v>
      </c>
      <c r="L3" s="54">
        <v>28</v>
      </c>
      <c r="M3" s="19">
        <v>44</v>
      </c>
      <c r="N3" s="54">
        <v>35</v>
      </c>
      <c r="O3" s="54">
        <v>70</v>
      </c>
      <c r="P3" s="385">
        <v>0.62860000000000005</v>
      </c>
      <c r="Q3" s="54">
        <v>9</v>
      </c>
      <c r="R3" s="54">
        <v>3</v>
      </c>
      <c r="S3" s="58">
        <v>475352</v>
      </c>
      <c r="T3" s="69">
        <v>475352</v>
      </c>
      <c r="U3" s="58">
        <v>475352</v>
      </c>
      <c r="V3" s="58">
        <v>0</v>
      </c>
      <c r="W3" s="135">
        <v>0</v>
      </c>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row>
    <row r="4" spans="1:220" s="14" customFormat="1">
      <c r="A4" s="10">
        <v>2021</v>
      </c>
      <c r="B4" s="17">
        <v>5</v>
      </c>
      <c r="C4" s="17">
        <v>0</v>
      </c>
      <c r="D4" s="23">
        <f t="shared" ref="D4" si="2">SUM(B4:C4)</f>
        <v>5</v>
      </c>
      <c r="E4" s="82">
        <f t="shared" ref="E4" si="3">ROUND((O4/B4), 0)</f>
        <v>9</v>
      </c>
      <c r="F4" s="82">
        <f t="shared" ref="F4" si="4">ROUND((O4/D4), 0)</f>
        <v>9</v>
      </c>
      <c r="G4" s="17">
        <v>4</v>
      </c>
      <c r="H4" s="17">
        <v>0</v>
      </c>
      <c r="I4" s="17">
        <v>19</v>
      </c>
      <c r="J4" s="17">
        <v>29</v>
      </c>
      <c r="K4" s="23">
        <f>SUM(I4:J4)</f>
        <v>48</v>
      </c>
      <c r="L4" s="17">
        <v>17</v>
      </c>
      <c r="M4" s="82">
        <f t="shared" ref="M4" si="5">(I4+L4)</f>
        <v>36</v>
      </c>
      <c r="N4" s="17">
        <v>23</v>
      </c>
      <c r="O4" s="17">
        <v>46</v>
      </c>
      <c r="P4" s="133">
        <f>M4/O4</f>
        <v>0.78260869565217395</v>
      </c>
      <c r="Q4" s="17">
        <v>7</v>
      </c>
      <c r="R4" s="17">
        <v>3</v>
      </c>
      <c r="S4" s="20">
        <v>416816</v>
      </c>
      <c r="T4" s="24">
        <f>SUM(U4:V4)</f>
        <v>416816</v>
      </c>
      <c r="U4" s="20">
        <v>397477</v>
      </c>
      <c r="V4" s="20">
        <v>19339</v>
      </c>
      <c r="W4" s="135">
        <f t="shared" ref="W4" si="6">V4/T4</f>
        <v>4.6396971325476946E-2</v>
      </c>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row>
    <row r="5" spans="1:220" s="14" customFormat="1">
      <c r="A5" s="10">
        <v>2020</v>
      </c>
      <c r="B5" s="17">
        <v>5</v>
      </c>
      <c r="C5" s="17">
        <v>0.5</v>
      </c>
      <c r="D5" s="23">
        <v>5.5</v>
      </c>
      <c r="E5" s="82">
        <v>5</v>
      </c>
      <c r="F5" s="82">
        <v>5</v>
      </c>
      <c r="G5" s="17">
        <v>4</v>
      </c>
      <c r="H5" s="17">
        <v>0.5</v>
      </c>
      <c r="I5" s="17">
        <v>7</v>
      </c>
      <c r="J5" s="17">
        <v>23</v>
      </c>
      <c r="K5" s="23">
        <v>30</v>
      </c>
      <c r="L5" s="17">
        <v>13.56</v>
      </c>
      <c r="M5" s="82">
        <v>21</v>
      </c>
      <c r="N5" s="17">
        <v>16</v>
      </c>
      <c r="O5" s="17">
        <v>26.67</v>
      </c>
      <c r="P5" s="133">
        <v>0.78939999999999999</v>
      </c>
      <c r="Q5" s="17">
        <v>3</v>
      </c>
      <c r="R5" s="17">
        <v>5</v>
      </c>
      <c r="S5" s="20">
        <v>444792</v>
      </c>
      <c r="T5" s="24">
        <v>444792</v>
      </c>
      <c r="U5" s="20">
        <v>444792</v>
      </c>
      <c r="V5" s="20">
        <v>0</v>
      </c>
      <c r="W5" s="135">
        <v>0</v>
      </c>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row>
    <row r="6" spans="1:220" s="14" customFormat="1">
      <c r="A6" s="10">
        <v>2019</v>
      </c>
      <c r="B6" s="17">
        <v>4</v>
      </c>
      <c r="C6" s="17">
        <v>0.16</v>
      </c>
      <c r="D6" s="23">
        <f>SUM(B6:C6)</f>
        <v>4.16</v>
      </c>
      <c r="E6" s="82">
        <f>ROUND((O6/B6), 0)</f>
        <v>6</v>
      </c>
      <c r="F6" s="82">
        <f>ROUND((O6/D6), 0)</f>
        <v>6</v>
      </c>
      <c r="G6" s="17">
        <v>4</v>
      </c>
      <c r="H6" s="17">
        <v>0.16</v>
      </c>
      <c r="I6" s="17">
        <v>7</v>
      </c>
      <c r="J6" s="17">
        <v>31</v>
      </c>
      <c r="K6" s="23">
        <f>SUM(I6:J6)</f>
        <v>38</v>
      </c>
      <c r="L6" s="17">
        <f>J6*0.36</f>
        <v>11.16</v>
      </c>
      <c r="M6" s="82">
        <f>(I6+L6)</f>
        <v>18.16</v>
      </c>
      <c r="N6" s="17">
        <v>24</v>
      </c>
      <c r="O6" s="17">
        <v>23.18</v>
      </c>
      <c r="P6" s="133">
        <f>M6/O6</f>
        <v>0.78343399482312337</v>
      </c>
      <c r="Q6" s="17">
        <v>3</v>
      </c>
      <c r="R6" s="17">
        <v>0</v>
      </c>
      <c r="S6" s="20">
        <v>455517</v>
      </c>
      <c r="T6" s="24">
        <f>SUM(U6:V6)</f>
        <v>521516</v>
      </c>
      <c r="U6" s="20">
        <v>488400</v>
      </c>
      <c r="V6" s="20">
        <v>33116</v>
      </c>
      <c r="W6" s="135">
        <f>V6/T6</f>
        <v>6.349948994853466E-2</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5</v>
      </c>
      <c r="C7" s="17">
        <v>0.7</v>
      </c>
      <c r="D7" s="23">
        <f>SUM(B7:C7)</f>
        <v>5.7</v>
      </c>
      <c r="E7" s="82">
        <f>ROUND((O7/B7), 0)</f>
        <v>3</v>
      </c>
      <c r="F7" s="82">
        <f>ROUND((O7/D7), 0)</f>
        <v>3</v>
      </c>
      <c r="G7" s="17">
        <v>4</v>
      </c>
      <c r="H7" s="17">
        <v>0.16</v>
      </c>
      <c r="I7" s="17">
        <v>0</v>
      </c>
      <c r="J7" s="17">
        <v>12</v>
      </c>
      <c r="K7" s="23">
        <f t="shared" ref="K7" si="7">SUM(I7:J7)</f>
        <v>12</v>
      </c>
      <c r="L7" s="17">
        <v>5.91</v>
      </c>
      <c r="M7" s="82">
        <f>(I7+L7)</f>
        <v>5.91</v>
      </c>
      <c r="N7" s="17">
        <v>8</v>
      </c>
      <c r="O7" s="17">
        <v>16.920000000000002</v>
      </c>
      <c r="P7" s="133">
        <f>M7/O7</f>
        <v>0.34929078014184395</v>
      </c>
      <c r="Q7" s="17">
        <v>1</v>
      </c>
      <c r="R7" s="17">
        <v>10</v>
      </c>
      <c r="S7" s="20">
        <v>614998</v>
      </c>
      <c r="T7" s="24">
        <f>SUM(U7:V7)</f>
        <v>614998</v>
      </c>
      <c r="U7" s="20">
        <v>480648</v>
      </c>
      <c r="V7" s="20">
        <v>134350</v>
      </c>
      <c r="W7" s="135">
        <f>V7/T7</f>
        <v>0.21845599497884546</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3" customFormat="1">
      <c r="A8" s="10">
        <v>2017</v>
      </c>
      <c r="B8" s="17">
        <v>4</v>
      </c>
      <c r="C8" s="17">
        <v>0</v>
      </c>
      <c r="D8" s="23">
        <f>SUM(B8:C8)</f>
        <v>4</v>
      </c>
      <c r="E8" s="82">
        <f>ROUND((O8/B8), 0)</f>
        <v>4</v>
      </c>
      <c r="F8" s="82">
        <f>ROUND((O8/D8), 0)</f>
        <v>4</v>
      </c>
      <c r="G8" s="253">
        <v>3</v>
      </c>
      <c r="H8" s="253">
        <v>0</v>
      </c>
      <c r="I8" s="17">
        <v>1</v>
      </c>
      <c r="J8" s="17">
        <v>11</v>
      </c>
      <c r="K8" s="23">
        <f>SUM(I8:J8)</f>
        <v>12</v>
      </c>
      <c r="L8" s="17">
        <v>3.58</v>
      </c>
      <c r="M8" s="82">
        <f>(I8+L8)</f>
        <v>4.58</v>
      </c>
      <c r="N8" s="17">
        <v>7</v>
      </c>
      <c r="O8" s="17">
        <v>16.420000000000002</v>
      </c>
      <c r="P8" s="133">
        <f t="shared" ref="P8:P17" si="8">M8/O8</f>
        <v>0.27892813641900122</v>
      </c>
      <c r="Q8" s="17">
        <v>4</v>
      </c>
      <c r="R8" s="17">
        <v>5</v>
      </c>
      <c r="S8" s="18">
        <v>587287</v>
      </c>
      <c r="T8" s="24">
        <f>SUM(U8:V8)</f>
        <v>587287</v>
      </c>
      <c r="U8" s="18">
        <v>467972.73</v>
      </c>
      <c r="V8" s="18">
        <v>119314.27</v>
      </c>
      <c r="W8" s="135">
        <f t="shared" ref="W8:W17" si="9">V8/T8</f>
        <v>0.2031617760992496</v>
      </c>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row>
    <row r="9" spans="1:220" s="3" customFormat="1">
      <c r="A9" s="10">
        <v>2016</v>
      </c>
      <c r="B9" s="54">
        <v>4</v>
      </c>
      <c r="C9" s="54">
        <v>0</v>
      </c>
      <c r="D9" s="23">
        <f>SUM(B9:C9)</f>
        <v>4</v>
      </c>
      <c r="E9" s="82">
        <f>ROUND((O9/B9), 0)</f>
        <v>4</v>
      </c>
      <c r="F9" s="82">
        <f>ROUND((O9/D9), 0)</f>
        <v>4</v>
      </c>
      <c r="G9" s="66">
        <v>2</v>
      </c>
      <c r="H9" s="66">
        <v>0</v>
      </c>
      <c r="I9" s="54">
        <v>0</v>
      </c>
      <c r="J9" s="54">
        <v>10</v>
      </c>
      <c r="K9" s="23">
        <f>SUM(I9:J9)</f>
        <v>10</v>
      </c>
      <c r="L9" s="54">
        <v>6.16</v>
      </c>
      <c r="M9" s="82">
        <f>(I9+L9)</f>
        <v>6.16</v>
      </c>
      <c r="N9" s="54">
        <v>10</v>
      </c>
      <c r="O9" s="54">
        <v>16.649999999999999</v>
      </c>
      <c r="P9" s="133">
        <f t="shared" si="8"/>
        <v>0.36996996996997</v>
      </c>
      <c r="Q9" s="54">
        <v>4</v>
      </c>
      <c r="R9" s="54">
        <v>10</v>
      </c>
      <c r="S9" s="58">
        <v>621147</v>
      </c>
      <c r="T9" s="24">
        <f>SUM(U9:V9)</f>
        <v>621147</v>
      </c>
      <c r="U9" s="58">
        <v>516700</v>
      </c>
      <c r="V9" s="58">
        <v>104447</v>
      </c>
      <c r="W9" s="135">
        <f t="shared" si="9"/>
        <v>0.16815182235445073</v>
      </c>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row>
    <row r="10" spans="1:220" customFormat="1">
      <c r="A10" s="15">
        <v>2015</v>
      </c>
      <c r="B10" s="70">
        <v>7</v>
      </c>
      <c r="C10" s="70">
        <v>0.13</v>
      </c>
      <c r="D10" s="65">
        <v>7.13</v>
      </c>
      <c r="E10" s="65">
        <v>11.8</v>
      </c>
      <c r="F10" s="65">
        <v>11.5</v>
      </c>
      <c r="G10" s="83"/>
      <c r="H10" s="83"/>
      <c r="I10" s="70">
        <v>0</v>
      </c>
      <c r="J10" s="70">
        <v>0</v>
      </c>
      <c r="K10" s="65">
        <v>0</v>
      </c>
      <c r="L10" s="70">
        <v>0</v>
      </c>
      <c r="M10" s="65">
        <v>0</v>
      </c>
      <c r="N10" s="70">
        <v>0</v>
      </c>
      <c r="O10" s="70">
        <v>82.35</v>
      </c>
      <c r="P10" s="133">
        <f t="shared" si="8"/>
        <v>0</v>
      </c>
      <c r="Q10" s="70">
        <v>0</v>
      </c>
      <c r="R10" s="70">
        <v>5</v>
      </c>
      <c r="S10" s="78">
        <v>746583</v>
      </c>
      <c r="T10" s="79">
        <v>746582</v>
      </c>
      <c r="U10" s="78">
        <v>720461</v>
      </c>
      <c r="V10" s="78">
        <v>26121</v>
      </c>
      <c r="W10" s="135">
        <f t="shared" si="9"/>
        <v>3.4987449469716658E-2</v>
      </c>
    </row>
    <row r="11" spans="1:220" customFormat="1">
      <c r="A11" s="15">
        <v>2014</v>
      </c>
      <c r="B11" s="528">
        <v>8</v>
      </c>
      <c r="C11" s="528">
        <v>0</v>
      </c>
      <c r="D11" s="23">
        <f t="shared" ref="D11:D18" si="10">SUM(B11:C11)</f>
        <v>8</v>
      </c>
      <c r="E11" s="82">
        <f t="shared" ref="E11:E18" si="11">ROUND((O11/B11), 0)</f>
        <v>2</v>
      </c>
      <c r="F11" s="82">
        <f t="shared" ref="F11:F18" si="12">ROUND((O11/D11), 0)</f>
        <v>2</v>
      </c>
      <c r="G11" s="83"/>
      <c r="H11" s="83"/>
      <c r="I11" s="528">
        <v>0</v>
      </c>
      <c r="J11" s="528">
        <v>8</v>
      </c>
      <c r="K11" s="23">
        <f t="shared" ref="K11:K17" si="13">SUM(I11:J11)</f>
        <v>8</v>
      </c>
      <c r="L11" s="528">
        <v>5.42</v>
      </c>
      <c r="M11" s="82">
        <f t="shared" ref="M11:M17" si="14">(I11+L11)</f>
        <v>5.42</v>
      </c>
      <c r="N11" s="528">
        <v>6</v>
      </c>
      <c r="O11" s="528">
        <v>19</v>
      </c>
      <c r="P11" s="133">
        <f t="shared" si="8"/>
        <v>0.28526315789473683</v>
      </c>
      <c r="Q11" s="528">
        <v>1</v>
      </c>
      <c r="R11" s="528">
        <v>3</v>
      </c>
      <c r="S11" s="84">
        <v>696776</v>
      </c>
      <c r="T11" s="24">
        <f t="shared" ref="T11:T17" si="15">SUM(U11:V11)</f>
        <v>696776</v>
      </c>
      <c r="U11" s="84">
        <v>690538</v>
      </c>
      <c r="V11" s="84">
        <v>6238</v>
      </c>
      <c r="W11" s="135">
        <f t="shared" si="9"/>
        <v>8.9526619745800666E-3</v>
      </c>
    </row>
    <row r="12" spans="1:220" customFormat="1">
      <c r="A12" s="15">
        <v>2013</v>
      </c>
      <c r="B12" s="528">
        <v>8</v>
      </c>
      <c r="C12" s="528">
        <v>0</v>
      </c>
      <c r="D12" s="23">
        <f t="shared" si="10"/>
        <v>8</v>
      </c>
      <c r="E12" s="82">
        <f t="shared" si="11"/>
        <v>2</v>
      </c>
      <c r="F12" s="82">
        <f t="shared" si="12"/>
        <v>2</v>
      </c>
      <c r="G12" s="85"/>
      <c r="H12" s="85"/>
      <c r="I12" s="528">
        <v>0</v>
      </c>
      <c r="J12" s="528">
        <v>10</v>
      </c>
      <c r="K12" s="23">
        <f t="shared" si="13"/>
        <v>10</v>
      </c>
      <c r="L12" s="528">
        <v>6.33</v>
      </c>
      <c r="M12" s="82">
        <f t="shared" si="14"/>
        <v>6.33</v>
      </c>
      <c r="N12" s="528">
        <v>6</v>
      </c>
      <c r="O12" s="528">
        <v>17.579999999999998</v>
      </c>
      <c r="P12" s="133">
        <f t="shared" si="8"/>
        <v>0.36006825938566556</v>
      </c>
      <c r="Q12" s="528">
        <v>9</v>
      </c>
      <c r="R12" s="528">
        <v>0</v>
      </c>
      <c r="S12" s="84">
        <v>673957</v>
      </c>
      <c r="T12" s="24">
        <f t="shared" si="15"/>
        <v>727051</v>
      </c>
      <c r="U12" s="84">
        <v>727051</v>
      </c>
      <c r="V12" s="84">
        <v>0</v>
      </c>
      <c r="W12" s="135">
        <f t="shared" si="9"/>
        <v>0</v>
      </c>
    </row>
    <row r="13" spans="1:220" customFormat="1">
      <c r="A13" s="15" t="s">
        <v>25</v>
      </c>
      <c r="B13" s="528">
        <v>8</v>
      </c>
      <c r="C13" s="528">
        <v>0</v>
      </c>
      <c r="D13" s="23">
        <f t="shared" si="10"/>
        <v>8</v>
      </c>
      <c r="E13" s="82">
        <f t="shared" si="11"/>
        <v>1</v>
      </c>
      <c r="F13" s="82">
        <f t="shared" si="12"/>
        <v>1</v>
      </c>
      <c r="G13" s="85"/>
      <c r="H13" s="85"/>
      <c r="I13" s="528">
        <v>0</v>
      </c>
      <c r="J13" s="528">
        <v>11</v>
      </c>
      <c r="K13" s="23">
        <f t="shared" si="13"/>
        <v>11</v>
      </c>
      <c r="L13" s="528">
        <v>5.25</v>
      </c>
      <c r="M13" s="82">
        <f t="shared" si="14"/>
        <v>5.25</v>
      </c>
      <c r="N13" s="528">
        <v>7</v>
      </c>
      <c r="O13" s="528">
        <v>11.5</v>
      </c>
      <c r="P13" s="133">
        <f t="shared" si="8"/>
        <v>0.45652173913043476</v>
      </c>
      <c r="Q13" s="528">
        <v>15</v>
      </c>
      <c r="R13" s="528">
        <v>7</v>
      </c>
      <c r="S13" s="84">
        <v>552922</v>
      </c>
      <c r="T13" s="24">
        <f t="shared" si="15"/>
        <v>590869</v>
      </c>
      <c r="U13" s="84">
        <v>516258</v>
      </c>
      <c r="V13" s="84">
        <v>74611</v>
      </c>
      <c r="W13" s="135">
        <f t="shared" si="9"/>
        <v>0.12627333639097668</v>
      </c>
    </row>
    <row r="14" spans="1:220" customFormat="1">
      <c r="A14" s="15" t="s">
        <v>26</v>
      </c>
      <c r="B14" s="528">
        <v>4</v>
      </c>
      <c r="C14" s="528">
        <v>0.44</v>
      </c>
      <c r="D14" s="23">
        <f t="shared" si="10"/>
        <v>4.4400000000000004</v>
      </c>
      <c r="E14" s="82">
        <f t="shared" si="11"/>
        <v>7</v>
      </c>
      <c r="F14" s="82">
        <f t="shared" si="12"/>
        <v>6</v>
      </c>
      <c r="G14" s="85"/>
      <c r="H14" s="85"/>
      <c r="I14" s="528">
        <v>18</v>
      </c>
      <c r="J14" s="528">
        <v>19</v>
      </c>
      <c r="K14" s="23">
        <f t="shared" si="13"/>
        <v>37</v>
      </c>
      <c r="L14" s="528">
        <v>9.1999999999999993</v>
      </c>
      <c r="M14" s="82">
        <f t="shared" si="14"/>
        <v>27.2</v>
      </c>
      <c r="N14" s="528">
        <v>24</v>
      </c>
      <c r="O14" s="528">
        <v>27.2</v>
      </c>
      <c r="P14" s="133">
        <f t="shared" si="8"/>
        <v>1</v>
      </c>
      <c r="Q14" s="528">
        <v>26</v>
      </c>
      <c r="R14" s="528">
        <v>0</v>
      </c>
      <c r="S14" s="84">
        <v>34554</v>
      </c>
      <c r="T14" s="24">
        <f t="shared" si="15"/>
        <v>69000</v>
      </c>
      <c r="U14" s="84">
        <v>25000</v>
      </c>
      <c r="V14" s="84">
        <v>44000</v>
      </c>
      <c r="W14" s="135">
        <f t="shared" si="9"/>
        <v>0.6376811594202898</v>
      </c>
    </row>
    <row r="15" spans="1:220" customFormat="1">
      <c r="A15" s="15" t="s">
        <v>27</v>
      </c>
      <c r="B15" s="528">
        <v>6</v>
      </c>
      <c r="C15" s="528">
        <v>0.66</v>
      </c>
      <c r="D15" s="23">
        <f t="shared" si="10"/>
        <v>6.66</v>
      </c>
      <c r="E15" s="82">
        <f t="shared" si="11"/>
        <v>6</v>
      </c>
      <c r="F15" s="82">
        <f t="shared" si="12"/>
        <v>5</v>
      </c>
      <c r="G15" s="85"/>
      <c r="H15" s="85"/>
      <c r="I15" s="528">
        <v>19</v>
      </c>
      <c r="J15" s="528">
        <v>42</v>
      </c>
      <c r="K15" s="23">
        <f t="shared" si="13"/>
        <v>61</v>
      </c>
      <c r="L15" s="528">
        <v>16.329999999999998</v>
      </c>
      <c r="M15" s="82">
        <f t="shared" si="14"/>
        <v>35.33</v>
      </c>
      <c r="N15" s="528">
        <v>42</v>
      </c>
      <c r="O15" s="528">
        <v>35.33</v>
      </c>
      <c r="P15" s="133">
        <f t="shared" si="8"/>
        <v>1</v>
      </c>
      <c r="Q15" s="528">
        <v>16</v>
      </c>
      <c r="R15" s="528">
        <v>0</v>
      </c>
      <c r="S15" s="84">
        <v>210701</v>
      </c>
      <c r="T15" s="24">
        <f t="shared" si="15"/>
        <v>422063</v>
      </c>
      <c r="U15" s="84">
        <v>422063</v>
      </c>
      <c r="V15" s="84">
        <v>0</v>
      </c>
      <c r="W15" s="135">
        <f t="shared" si="9"/>
        <v>0</v>
      </c>
    </row>
    <row r="16" spans="1:220" customFormat="1">
      <c r="A16" s="15" t="s">
        <v>28</v>
      </c>
      <c r="B16" s="528">
        <v>2</v>
      </c>
      <c r="C16" s="528">
        <v>2</v>
      </c>
      <c r="D16" s="23">
        <f t="shared" si="10"/>
        <v>4</v>
      </c>
      <c r="E16" s="82">
        <f t="shared" si="11"/>
        <v>12</v>
      </c>
      <c r="F16" s="82">
        <f t="shared" si="12"/>
        <v>6</v>
      </c>
      <c r="G16" s="85"/>
      <c r="H16" s="85"/>
      <c r="I16" s="528">
        <v>3</v>
      </c>
      <c r="J16" s="528">
        <v>50</v>
      </c>
      <c r="K16" s="23">
        <f t="shared" si="13"/>
        <v>53</v>
      </c>
      <c r="L16" s="528">
        <v>21.1</v>
      </c>
      <c r="M16" s="82">
        <f t="shared" si="14"/>
        <v>24.1</v>
      </c>
      <c r="N16" s="528">
        <v>20</v>
      </c>
      <c r="O16" s="528">
        <v>24.1</v>
      </c>
      <c r="P16" s="133">
        <f t="shared" si="8"/>
        <v>1</v>
      </c>
      <c r="Q16" s="528">
        <v>20</v>
      </c>
      <c r="R16" s="528">
        <v>0</v>
      </c>
      <c r="S16" s="84">
        <v>266672</v>
      </c>
      <c r="T16" s="24">
        <f t="shared" si="15"/>
        <v>399968</v>
      </c>
      <c r="U16" s="84">
        <v>399968</v>
      </c>
      <c r="V16" s="84">
        <v>0</v>
      </c>
      <c r="W16" s="135">
        <f t="shared" si="9"/>
        <v>0</v>
      </c>
    </row>
    <row r="17" spans="1:23" s="93" customFormat="1">
      <c r="A17" s="10" t="s">
        <v>29</v>
      </c>
      <c r="B17" s="527">
        <v>2</v>
      </c>
      <c r="C17" s="527">
        <v>2</v>
      </c>
      <c r="D17" s="89">
        <f t="shared" si="10"/>
        <v>4</v>
      </c>
      <c r="E17" s="90">
        <f t="shared" si="11"/>
        <v>17</v>
      </c>
      <c r="F17" s="90">
        <f t="shared" si="12"/>
        <v>8</v>
      </c>
      <c r="G17" s="85"/>
      <c r="H17" s="85"/>
      <c r="I17" s="527">
        <v>5</v>
      </c>
      <c r="J17" s="527">
        <v>37</v>
      </c>
      <c r="K17" s="89">
        <f t="shared" si="13"/>
        <v>42</v>
      </c>
      <c r="L17" s="527">
        <v>25</v>
      </c>
      <c r="M17" s="90">
        <f t="shared" si="14"/>
        <v>30</v>
      </c>
      <c r="N17" s="527" t="s">
        <v>40</v>
      </c>
      <c r="O17" s="527">
        <v>33</v>
      </c>
      <c r="P17" s="133">
        <f t="shared" si="8"/>
        <v>0.90909090909090906</v>
      </c>
      <c r="Q17" s="527">
        <v>16</v>
      </c>
      <c r="R17" s="527">
        <v>0</v>
      </c>
      <c r="S17" s="112">
        <v>169228.71</v>
      </c>
      <c r="T17" s="92">
        <f t="shared" si="15"/>
        <v>169229</v>
      </c>
      <c r="U17" s="112">
        <v>169229</v>
      </c>
      <c r="V17" s="112">
        <v>0</v>
      </c>
      <c r="W17" s="135">
        <f t="shared" si="9"/>
        <v>0</v>
      </c>
    </row>
    <row r="18" spans="1:23" s="93" customFormat="1">
      <c r="A18" s="10">
        <v>2007</v>
      </c>
      <c r="B18" s="527">
        <v>3</v>
      </c>
      <c r="C18" s="527">
        <v>0</v>
      </c>
      <c r="D18" s="89">
        <f t="shared" si="10"/>
        <v>3</v>
      </c>
      <c r="E18" s="90">
        <f t="shared" si="11"/>
        <v>0</v>
      </c>
      <c r="F18" s="90">
        <f t="shared" si="12"/>
        <v>0</v>
      </c>
      <c r="G18" s="85"/>
      <c r="H18" s="85"/>
      <c r="I18" s="527">
        <v>0</v>
      </c>
      <c r="J18" s="527">
        <v>0</v>
      </c>
      <c r="K18" s="89">
        <v>0</v>
      </c>
      <c r="L18" s="527">
        <v>0</v>
      </c>
      <c r="M18" s="152">
        <v>0</v>
      </c>
      <c r="N18" s="527">
        <v>0</v>
      </c>
      <c r="O18" s="527">
        <v>0</v>
      </c>
      <c r="P18" s="134" t="s">
        <v>40</v>
      </c>
      <c r="Q18" s="527">
        <v>0</v>
      </c>
      <c r="R18" s="527">
        <v>0</v>
      </c>
      <c r="S18" s="76">
        <v>0</v>
      </c>
      <c r="T18" s="92">
        <v>0</v>
      </c>
      <c r="U18" s="76">
        <v>0</v>
      </c>
      <c r="V18" s="76">
        <v>0</v>
      </c>
      <c r="W18" s="109" t="s">
        <v>40</v>
      </c>
    </row>
    <row r="19" spans="1:23" customFormat="1">
      <c r="A19" s="538" t="s">
        <v>60</v>
      </c>
      <c r="B19" s="538"/>
      <c r="C19" s="538"/>
      <c r="D19" s="538"/>
      <c r="E19" s="538"/>
      <c r="F19" s="538"/>
      <c r="G19" s="538"/>
      <c r="H19" s="538"/>
      <c r="I19" s="538"/>
      <c r="J19" s="538"/>
      <c r="K19" s="538"/>
      <c r="L19" s="538"/>
      <c r="M19" s="538"/>
      <c r="N19" s="538"/>
      <c r="O19" s="538"/>
      <c r="P19" s="538"/>
      <c r="Q19" s="538"/>
      <c r="R19" s="538"/>
      <c r="S19" s="538"/>
      <c r="T19" s="538"/>
      <c r="U19" s="538"/>
      <c r="V19" s="538"/>
      <c r="W19" s="538"/>
    </row>
    <row r="20" spans="1:23" s="12" customFormat="1">
      <c r="A20" s="549" t="s">
        <v>61</v>
      </c>
      <c r="B20" s="538"/>
      <c r="C20" s="538"/>
      <c r="D20" s="538"/>
      <c r="E20" s="538"/>
      <c r="F20" s="538"/>
      <c r="G20" s="538"/>
      <c r="H20" s="538"/>
      <c r="I20" s="538"/>
      <c r="J20" s="538"/>
      <c r="K20" s="538"/>
      <c r="L20" s="538"/>
      <c r="M20" s="538"/>
      <c r="N20" s="538"/>
      <c r="O20" s="538"/>
      <c r="P20" s="538"/>
      <c r="Q20" s="538"/>
      <c r="R20" s="538"/>
      <c r="S20" s="538"/>
      <c r="T20" s="538"/>
      <c r="U20" s="538"/>
      <c r="V20" s="538"/>
      <c r="W20" s="538"/>
    </row>
    <row r="21" spans="1:23" s="12" customFormat="1"/>
    <row r="22" spans="1:23" s="62" customFormat="1"/>
    <row r="23" spans="1:23" s="62" customFormat="1"/>
    <row r="24" spans="1:23" s="62" customFormat="1"/>
    <row r="25" spans="1:23" s="62" customFormat="1"/>
    <row r="26" spans="1:23" s="62" customFormat="1"/>
    <row r="27" spans="1:23" s="62" customFormat="1"/>
    <row r="28" spans="1:23" s="62" customFormat="1"/>
    <row r="29" spans="1:23" s="62" customFormat="1"/>
    <row r="30" spans="1:23" s="62" customFormat="1"/>
  </sheetData>
  <mergeCells count="2">
    <mergeCell ref="A19:W19"/>
    <mergeCell ref="A20:W20"/>
  </mergeCells>
  <printOptions headings="1" gridLines="1"/>
  <pageMargins left="0.5" right="0.5" top="0.5" bottom="0.5" header="0" footer="0"/>
  <pageSetup paperSize="5" scale="67" orientation="landscape" horizontalDpi="1200" verticalDpi="1200"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L35"/>
  <sheetViews>
    <sheetView zoomScaleNormal="100" workbookViewId="0">
      <selection activeCell="L24" sqref="L24"/>
    </sheetView>
  </sheetViews>
  <sheetFormatPr defaultColWidth="8.85546875" defaultRowHeight="15"/>
  <cols>
    <col min="1" max="1" width="10.85546875" style="63" customWidth="1"/>
    <col min="2" max="2" width="8.42578125" style="63" customWidth="1"/>
    <col min="3" max="3" width="8.42578125" style="63" bestFit="1" customWidth="1"/>
    <col min="4" max="4" width="9.28515625" style="63" bestFit="1" customWidth="1"/>
    <col min="5" max="5" width="11.42578125" style="63" customWidth="1"/>
    <col min="6" max="6" width="11.42578125" style="63" bestFit="1" customWidth="1"/>
    <col min="7" max="8" width="12.140625" style="63" customWidth="1"/>
    <col min="9" max="9" width="8.85546875" style="63" bestFit="1" customWidth="1"/>
    <col min="10" max="11" width="11.85546875" style="63" bestFit="1" customWidth="1"/>
    <col min="12" max="12" width="11.140625" style="63" customWidth="1"/>
    <col min="13" max="13" width="13.140625" style="63" bestFit="1" customWidth="1"/>
    <col min="14" max="14" width="10.85546875" style="63" customWidth="1"/>
    <col min="15" max="15" width="13.42578125" style="63" bestFit="1" customWidth="1"/>
    <col min="16" max="16" width="14.28515625" style="63" customWidth="1"/>
    <col min="17" max="17" width="12.42578125" style="63" bestFit="1" customWidth="1"/>
    <col min="18" max="18" width="9" style="63" bestFit="1" customWidth="1"/>
    <col min="19" max="19" width="11.85546875" style="63" bestFit="1" customWidth="1"/>
    <col min="20" max="20" width="12.85546875" style="63" bestFit="1" customWidth="1"/>
    <col min="21" max="21" width="13.28515625" style="63" bestFit="1" customWidth="1"/>
    <col min="22" max="22" width="10.85546875" style="63" bestFit="1" customWidth="1"/>
    <col min="23" max="23" width="12.85546875" style="63" bestFit="1" customWidth="1"/>
    <col min="24" max="16384" width="8.85546875" style="63"/>
  </cols>
  <sheetData>
    <row r="1" spans="1:220" s="1" customFormat="1" ht="18.75">
      <c r="A1" s="1" t="s">
        <v>62</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row>
    <row r="2" spans="1:220" s="3"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row>
    <row r="3" spans="1:220" s="14" customFormat="1">
      <c r="A3" s="105">
        <v>2022</v>
      </c>
      <c r="B3" s="54">
        <v>6</v>
      </c>
      <c r="C3" s="54">
        <v>2.5</v>
      </c>
      <c r="D3" s="19">
        <f>SUM(B3:C3)</f>
        <v>8.5</v>
      </c>
      <c r="E3" s="19">
        <f>ROUND((N3/B3), 0)</f>
        <v>8</v>
      </c>
      <c r="F3" s="19">
        <f>ROUND((N3/D3), 0)</f>
        <v>6</v>
      </c>
      <c r="G3" s="54">
        <v>6</v>
      </c>
      <c r="H3" s="54">
        <v>2.5</v>
      </c>
      <c r="I3" s="54">
        <v>82</v>
      </c>
      <c r="J3" s="54">
        <v>253</v>
      </c>
      <c r="K3" s="19">
        <f>SUM(I3:J3)</f>
        <v>335</v>
      </c>
      <c r="L3" s="54">
        <v>91.08</v>
      </c>
      <c r="M3" s="121">
        <f>(I3+L3)</f>
        <v>173.07999999999998</v>
      </c>
      <c r="N3" s="54">
        <v>49</v>
      </c>
      <c r="O3" s="54">
        <v>215</v>
      </c>
      <c r="P3" s="385">
        <f>M3/O3</f>
        <v>0.8050232558139534</v>
      </c>
      <c r="Q3" s="54">
        <v>168</v>
      </c>
      <c r="R3" s="54">
        <v>9</v>
      </c>
      <c r="S3" s="507">
        <v>896343</v>
      </c>
      <c r="T3" s="515">
        <v>896343</v>
      </c>
      <c r="U3" s="507">
        <v>896343</v>
      </c>
      <c r="V3" s="507">
        <v>0</v>
      </c>
      <c r="W3" s="385">
        <v>0</v>
      </c>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row>
    <row r="4" spans="1:220" s="14" customFormat="1">
      <c r="A4" s="10">
        <v>2021</v>
      </c>
      <c r="B4" s="17">
        <v>8</v>
      </c>
      <c r="C4" s="17">
        <v>4.33</v>
      </c>
      <c r="D4" s="23">
        <f>SUM(B4:C4)</f>
        <v>12.33</v>
      </c>
      <c r="E4" s="13">
        <f>ROUND((N5/B5),0)</f>
        <v>13</v>
      </c>
      <c r="F4" s="13">
        <f>ROUND((N5/D5),0)</f>
        <v>7</v>
      </c>
      <c r="G4" s="17">
        <v>8</v>
      </c>
      <c r="H4" s="17">
        <v>4.33</v>
      </c>
      <c r="I4" s="17">
        <v>80</v>
      </c>
      <c r="J4" s="17">
        <v>305</v>
      </c>
      <c r="K4" s="23">
        <f>SUM(I4:J4)</f>
        <v>385</v>
      </c>
      <c r="L4" s="17">
        <v>109.8</v>
      </c>
      <c r="M4" s="82">
        <f>(I4+L4)</f>
        <v>189.8</v>
      </c>
      <c r="N4" s="17">
        <v>66</v>
      </c>
      <c r="O4" s="17">
        <v>246</v>
      </c>
      <c r="P4" s="133">
        <f>M5/O5</f>
        <v>0.76166666666666671</v>
      </c>
      <c r="Q4" s="17">
        <v>141</v>
      </c>
      <c r="R4" s="17">
        <v>18</v>
      </c>
      <c r="S4" s="20">
        <v>1082037</v>
      </c>
      <c r="T4" s="24">
        <f>SUM(U4:V4)</f>
        <v>1082037</v>
      </c>
      <c r="U4" s="20">
        <v>1082037</v>
      </c>
      <c r="V4" s="20">
        <v>0</v>
      </c>
      <c r="W4" s="135">
        <v>0</v>
      </c>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row>
    <row r="5" spans="1:220" s="14" customFormat="1">
      <c r="A5" s="10">
        <v>2020</v>
      </c>
      <c r="B5" s="17">
        <v>7</v>
      </c>
      <c r="C5" s="17">
        <v>5.5</v>
      </c>
      <c r="D5" s="23">
        <v>12.5</v>
      </c>
      <c r="E5" s="13">
        <v>6.56</v>
      </c>
      <c r="F5" s="13">
        <v>19.2</v>
      </c>
      <c r="G5" s="17">
        <v>7</v>
      </c>
      <c r="H5" s="17">
        <v>5.5</v>
      </c>
      <c r="I5" s="17">
        <v>82</v>
      </c>
      <c r="J5" s="17">
        <v>280</v>
      </c>
      <c r="K5" s="23">
        <v>362</v>
      </c>
      <c r="L5" s="17">
        <v>100.8</v>
      </c>
      <c r="M5" s="82">
        <v>182.8</v>
      </c>
      <c r="N5" s="17">
        <v>89</v>
      </c>
      <c r="O5" s="17">
        <v>240</v>
      </c>
      <c r="P5" s="133">
        <v>0.76249999999999996</v>
      </c>
      <c r="Q5" s="17">
        <v>172</v>
      </c>
      <c r="R5" s="17">
        <v>10</v>
      </c>
      <c r="S5" s="20">
        <v>1282398</v>
      </c>
      <c r="T5" s="24">
        <v>1128823</v>
      </c>
      <c r="U5" s="20">
        <v>1128823</v>
      </c>
      <c r="V5" s="20">
        <v>0</v>
      </c>
      <c r="W5" s="135">
        <v>0</v>
      </c>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row>
    <row r="6" spans="1:220" s="14" customFormat="1">
      <c r="A6" s="10">
        <v>2019</v>
      </c>
      <c r="B6" s="17">
        <v>8</v>
      </c>
      <c r="C6" s="17">
        <v>2</v>
      </c>
      <c r="D6" s="23">
        <f>SUM(B6:C6)</f>
        <v>10</v>
      </c>
      <c r="E6" s="13">
        <f>I6/D6</f>
        <v>12.7</v>
      </c>
      <c r="F6" s="13">
        <f>O6/D6</f>
        <v>24.6</v>
      </c>
      <c r="G6" s="17">
        <v>8</v>
      </c>
      <c r="H6" s="17">
        <v>3</v>
      </c>
      <c r="I6" s="17">
        <v>127</v>
      </c>
      <c r="J6" s="17">
        <v>258</v>
      </c>
      <c r="K6" s="23">
        <f>SUM(I6:J6)</f>
        <v>385</v>
      </c>
      <c r="L6" s="17">
        <v>93</v>
      </c>
      <c r="M6" s="82">
        <f>(I6+L6)</f>
        <v>220</v>
      </c>
      <c r="N6" s="17">
        <v>63</v>
      </c>
      <c r="O6" s="17">
        <v>246</v>
      </c>
      <c r="P6" s="133">
        <f>M6/O6</f>
        <v>0.89430894308943087</v>
      </c>
      <c r="Q6" s="17">
        <v>138</v>
      </c>
      <c r="R6" s="17">
        <v>1</v>
      </c>
      <c r="S6" s="20">
        <v>1128823</v>
      </c>
      <c r="T6" s="24">
        <f>SUM(U6:V6)</f>
        <v>1089029</v>
      </c>
      <c r="U6" s="20">
        <v>1089029</v>
      </c>
      <c r="V6" s="20">
        <v>0</v>
      </c>
      <c r="W6" s="135">
        <f>V6/T6</f>
        <v>0</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8</v>
      </c>
      <c r="C7" s="17">
        <v>2</v>
      </c>
      <c r="D7" s="23">
        <f>SUM(B7:C7)</f>
        <v>10</v>
      </c>
      <c r="E7" s="82">
        <f>ROUND((O7/B7), 0)</f>
        <v>30</v>
      </c>
      <c r="F7" s="82">
        <f>ROUND((O7/D7), 0)</f>
        <v>24</v>
      </c>
      <c r="G7" s="17">
        <v>8</v>
      </c>
      <c r="H7" s="17">
        <v>2</v>
      </c>
      <c r="I7" s="17">
        <v>115</v>
      </c>
      <c r="J7" s="17">
        <v>244</v>
      </c>
      <c r="K7" s="23">
        <f t="shared" ref="K7" si="0">SUM(I7:J7)</f>
        <v>359</v>
      </c>
      <c r="L7" s="17">
        <v>88</v>
      </c>
      <c r="M7" s="82">
        <f>(I7+L7)</f>
        <v>203</v>
      </c>
      <c r="N7" s="17">
        <v>54</v>
      </c>
      <c r="O7" s="17">
        <v>238</v>
      </c>
      <c r="P7" s="133">
        <f>M7/O7</f>
        <v>0.8529411764705882</v>
      </c>
      <c r="Q7" s="17">
        <v>130</v>
      </c>
      <c r="R7" s="17">
        <v>6</v>
      </c>
      <c r="S7" s="20">
        <v>1118081</v>
      </c>
      <c r="T7" s="24">
        <f>SUM(U7:V7)</f>
        <v>1067080</v>
      </c>
      <c r="U7" s="20">
        <v>1067080</v>
      </c>
      <c r="V7" s="20">
        <v>0</v>
      </c>
      <c r="W7" s="135">
        <f>V7/T7</f>
        <v>0</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14" customFormat="1">
      <c r="A8" s="10">
        <v>2017</v>
      </c>
      <c r="B8" s="17">
        <v>8</v>
      </c>
      <c r="C8" s="17">
        <v>2</v>
      </c>
      <c r="D8" s="23">
        <f>SUM(B8:C8)</f>
        <v>10</v>
      </c>
      <c r="E8" s="82">
        <f>ROUND((O8/B8), 0)</f>
        <v>34</v>
      </c>
      <c r="F8" s="82">
        <f>ROUND((O8/D8), 0)</f>
        <v>27</v>
      </c>
      <c r="G8" s="17">
        <v>8</v>
      </c>
      <c r="H8" s="17">
        <v>1.75</v>
      </c>
      <c r="I8" s="17">
        <v>84</v>
      </c>
      <c r="J8" s="17">
        <v>253</v>
      </c>
      <c r="K8" s="23">
        <f>SUM(I8:J8)</f>
        <v>337</v>
      </c>
      <c r="L8" s="17">
        <v>91</v>
      </c>
      <c r="M8" s="82">
        <f>(I8+L8)</f>
        <v>175</v>
      </c>
      <c r="N8" s="17">
        <v>66</v>
      </c>
      <c r="O8" s="17">
        <v>268</v>
      </c>
      <c r="P8" s="133">
        <f t="shared" ref="P8:P23" si="1">M8/O8</f>
        <v>0.65298507462686572</v>
      </c>
      <c r="Q8" s="17">
        <v>140</v>
      </c>
      <c r="R8" s="17">
        <v>3</v>
      </c>
      <c r="S8" s="20">
        <v>1616437</v>
      </c>
      <c r="T8" s="24">
        <f>SUM(U8:V8)</f>
        <v>1085780</v>
      </c>
      <c r="U8" s="20">
        <v>1085780</v>
      </c>
      <c r="V8" s="20">
        <v>0</v>
      </c>
      <c r="W8" s="135">
        <f t="shared" ref="W8:W23" si="2">V8/T8</f>
        <v>0</v>
      </c>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row>
    <row r="9" spans="1:220" s="64" customFormat="1">
      <c r="A9" s="105">
        <v>2016</v>
      </c>
      <c r="B9" s="70">
        <v>8</v>
      </c>
      <c r="C9" s="70">
        <v>0.83</v>
      </c>
      <c r="D9" s="65">
        <f>B9+C9</f>
        <v>8.83</v>
      </c>
      <c r="E9" s="13">
        <f>I9/D9</f>
        <v>7.1347678369195924</v>
      </c>
      <c r="F9" s="13">
        <f>O9/D9</f>
        <v>25.784824462061156</v>
      </c>
      <c r="G9" s="70">
        <v>7</v>
      </c>
      <c r="H9" s="70">
        <v>0.83</v>
      </c>
      <c r="I9" s="70">
        <v>63</v>
      </c>
      <c r="J9" s="70">
        <v>275</v>
      </c>
      <c r="K9" s="23">
        <f>I9+J9</f>
        <v>338</v>
      </c>
      <c r="L9" s="70">
        <v>109.75</v>
      </c>
      <c r="M9" s="82">
        <f>I9+L9</f>
        <v>172.75</v>
      </c>
      <c r="N9" s="70">
        <v>41</v>
      </c>
      <c r="O9" s="70">
        <v>227.68</v>
      </c>
      <c r="P9" s="133">
        <f t="shared" si="1"/>
        <v>0.75874033731553059</v>
      </c>
      <c r="Q9" s="70">
        <v>144</v>
      </c>
      <c r="R9" s="70">
        <v>28</v>
      </c>
      <c r="S9" s="78">
        <v>1174574</v>
      </c>
      <c r="T9" s="24">
        <f>SUM(U9:V9)</f>
        <v>1182064</v>
      </c>
      <c r="U9" s="78">
        <v>1182064</v>
      </c>
      <c r="V9" s="78">
        <v>0</v>
      </c>
      <c r="W9" s="135">
        <f t="shared" si="2"/>
        <v>0</v>
      </c>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row>
    <row r="10" spans="1:220" customFormat="1">
      <c r="A10" s="15">
        <v>2015</v>
      </c>
      <c r="B10" s="70">
        <v>8</v>
      </c>
      <c r="C10" s="70">
        <v>1.5</v>
      </c>
      <c r="D10" s="65">
        <v>9.5</v>
      </c>
      <c r="E10" s="65">
        <v>15.2</v>
      </c>
      <c r="F10" s="65">
        <v>12.8</v>
      </c>
      <c r="G10" s="83"/>
      <c r="H10" s="83"/>
      <c r="I10" s="70">
        <v>56</v>
      </c>
      <c r="J10" s="70">
        <v>269</v>
      </c>
      <c r="K10" s="65">
        <v>325</v>
      </c>
      <c r="L10" s="70">
        <v>97</v>
      </c>
      <c r="M10" s="82">
        <f>I10+L10</f>
        <v>153</v>
      </c>
      <c r="N10" s="70">
        <v>22</v>
      </c>
      <c r="O10" s="70">
        <v>245</v>
      </c>
      <c r="P10" s="133">
        <f t="shared" si="1"/>
        <v>0.6244897959183674</v>
      </c>
      <c r="Q10" s="70">
        <v>282</v>
      </c>
      <c r="R10" s="70">
        <v>63</v>
      </c>
      <c r="S10" s="78">
        <v>1129734</v>
      </c>
      <c r="T10" s="79">
        <v>1458404</v>
      </c>
      <c r="U10" s="78">
        <v>1458404</v>
      </c>
      <c r="V10" s="78">
        <v>0</v>
      </c>
      <c r="W10" s="135">
        <f t="shared" si="2"/>
        <v>0</v>
      </c>
    </row>
    <row r="11" spans="1:220" customFormat="1">
      <c r="A11" s="15">
        <v>2014</v>
      </c>
      <c r="B11" s="70">
        <v>8</v>
      </c>
      <c r="C11" s="70">
        <v>3</v>
      </c>
      <c r="D11" s="65">
        <f>B11+C11</f>
        <v>11</v>
      </c>
      <c r="E11" s="13">
        <f>I11/D11</f>
        <v>5.6363636363636367</v>
      </c>
      <c r="F11" s="13">
        <f>O11/D11</f>
        <v>24</v>
      </c>
      <c r="G11" s="83"/>
      <c r="H11" s="83"/>
      <c r="I11" s="70">
        <v>62</v>
      </c>
      <c r="J11" s="70">
        <v>305</v>
      </c>
      <c r="K11" s="65">
        <f>I11+J11</f>
        <v>367</v>
      </c>
      <c r="L11" s="70">
        <v>117</v>
      </c>
      <c r="M11" s="13">
        <f>I11+L11</f>
        <v>179</v>
      </c>
      <c r="N11" s="70">
        <v>27</v>
      </c>
      <c r="O11" s="70">
        <v>264</v>
      </c>
      <c r="P11" s="133">
        <f t="shared" si="1"/>
        <v>0.67803030303030298</v>
      </c>
      <c r="Q11" s="70">
        <v>188</v>
      </c>
      <c r="R11" s="70">
        <v>38</v>
      </c>
      <c r="S11" s="71">
        <v>1075673</v>
      </c>
      <c r="T11" s="68">
        <f t="shared" ref="T11:T23" si="3">SUM(U11:V11)</f>
        <v>1075673</v>
      </c>
      <c r="U11" s="71">
        <v>1075673</v>
      </c>
      <c r="V11" s="71">
        <v>0</v>
      </c>
      <c r="W11" s="135">
        <f t="shared" si="2"/>
        <v>0</v>
      </c>
    </row>
    <row r="12" spans="1:220" customFormat="1">
      <c r="A12" s="15">
        <v>2013</v>
      </c>
      <c r="B12" s="528">
        <v>8</v>
      </c>
      <c r="C12" s="528">
        <v>3</v>
      </c>
      <c r="D12" s="23">
        <f>B12+C12</f>
        <v>11</v>
      </c>
      <c r="E12" s="82">
        <f>I12/D12</f>
        <v>6.9090909090909092</v>
      </c>
      <c r="F12" s="82">
        <f>O12/D12</f>
        <v>31.018181818181816</v>
      </c>
      <c r="G12" s="85"/>
      <c r="H12" s="85"/>
      <c r="I12" s="528">
        <v>76</v>
      </c>
      <c r="J12" s="528">
        <v>324</v>
      </c>
      <c r="K12" s="23">
        <f>I12+J12</f>
        <v>400</v>
      </c>
      <c r="L12" s="528">
        <v>124.4</v>
      </c>
      <c r="M12" s="82">
        <f>I12+L12</f>
        <v>200.4</v>
      </c>
      <c r="N12" s="528">
        <v>23</v>
      </c>
      <c r="O12" s="528">
        <v>341.2</v>
      </c>
      <c r="P12" s="133">
        <f t="shared" si="1"/>
        <v>0.58733880422039864</v>
      </c>
      <c r="Q12" s="528">
        <v>202</v>
      </c>
      <c r="R12" s="528">
        <v>43</v>
      </c>
      <c r="S12" s="84">
        <v>1205904</v>
      </c>
      <c r="T12" s="24">
        <f t="shared" si="3"/>
        <v>1192091</v>
      </c>
      <c r="U12" s="84">
        <v>1192091</v>
      </c>
      <c r="V12" s="84">
        <v>0</v>
      </c>
      <c r="W12" s="135">
        <f t="shared" si="2"/>
        <v>0</v>
      </c>
    </row>
    <row r="13" spans="1:220" customFormat="1">
      <c r="A13" s="15">
        <v>2012</v>
      </c>
      <c r="B13" s="528">
        <v>9</v>
      </c>
      <c r="C13" s="528">
        <v>1.3</v>
      </c>
      <c r="D13" s="23">
        <f>B13+C13</f>
        <v>10.3</v>
      </c>
      <c r="E13" s="82">
        <f>I13/D13</f>
        <v>10.776699029126213</v>
      </c>
      <c r="F13" s="82">
        <f>O13/D13</f>
        <v>32.699029126213588</v>
      </c>
      <c r="G13" s="85"/>
      <c r="H13" s="85"/>
      <c r="I13" s="528">
        <v>111</v>
      </c>
      <c r="J13" s="528">
        <v>365</v>
      </c>
      <c r="K13" s="23">
        <f>I13+J13</f>
        <v>476</v>
      </c>
      <c r="L13" s="528">
        <v>144.6</v>
      </c>
      <c r="M13" s="82">
        <f>I13+L13</f>
        <v>255.6</v>
      </c>
      <c r="N13" s="528">
        <v>25</v>
      </c>
      <c r="O13" s="528">
        <v>336.8</v>
      </c>
      <c r="P13" s="133">
        <f t="shared" si="1"/>
        <v>0.75890736342042753</v>
      </c>
      <c r="Q13" s="528">
        <v>153</v>
      </c>
      <c r="R13" s="528">
        <v>17</v>
      </c>
      <c r="S13" s="84">
        <v>1359040</v>
      </c>
      <c r="T13" s="24">
        <f t="shared" si="3"/>
        <v>1359040</v>
      </c>
      <c r="U13" s="84">
        <v>1359040</v>
      </c>
      <c r="V13" s="84">
        <v>0</v>
      </c>
      <c r="W13" s="135">
        <f t="shared" si="2"/>
        <v>0</v>
      </c>
    </row>
    <row r="14" spans="1:220" customFormat="1">
      <c r="A14" s="15" t="s">
        <v>26</v>
      </c>
      <c r="B14" s="528">
        <v>12</v>
      </c>
      <c r="C14" s="528">
        <v>2.2999999999999998</v>
      </c>
      <c r="D14" s="23">
        <f t="shared" ref="D14:D23" si="4">SUM(B14:C14)</f>
        <v>14.3</v>
      </c>
      <c r="E14" s="82">
        <f t="shared" ref="E14:E23" si="5">ROUND((O14/B14), 0)</f>
        <v>32</v>
      </c>
      <c r="F14" s="82">
        <f>ROUND((O14/D14), 0)</f>
        <v>27</v>
      </c>
      <c r="G14" s="85"/>
      <c r="H14" s="85"/>
      <c r="I14" s="528">
        <v>122</v>
      </c>
      <c r="J14" s="528">
        <v>387</v>
      </c>
      <c r="K14" s="23">
        <f t="shared" ref="K14:K23" si="6">SUM(I14:J14)</f>
        <v>509</v>
      </c>
      <c r="L14" s="528">
        <v>193.5</v>
      </c>
      <c r="M14" s="82">
        <f t="shared" ref="M14:M23" si="7">(I14+L14)</f>
        <v>315.5</v>
      </c>
      <c r="N14" s="528">
        <v>27</v>
      </c>
      <c r="O14" s="528">
        <v>388.75</v>
      </c>
      <c r="P14" s="133">
        <f t="shared" si="1"/>
        <v>0.81157556270096465</v>
      </c>
      <c r="Q14" s="528">
        <v>178</v>
      </c>
      <c r="R14" s="528">
        <v>28</v>
      </c>
      <c r="S14" s="84">
        <v>586251</v>
      </c>
      <c r="T14" s="24">
        <f t="shared" si="3"/>
        <v>583848</v>
      </c>
      <c r="U14" s="84">
        <v>583848</v>
      </c>
      <c r="V14" s="84">
        <v>0</v>
      </c>
      <c r="W14" s="135">
        <f t="shared" si="2"/>
        <v>0</v>
      </c>
    </row>
    <row r="15" spans="1:220" customFormat="1">
      <c r="A15" s="15" t="s">
        <v>27</v>
      </c>
      <c r="B15" s="528">
        <v>11</v>
      </c>
      <c r="C15" s="528">
        <v>5.66</v>
      </c>
      <c r="D15" s="23">
        <f t="shared" si="4"/>
        <v>16.66</v>
      </c>
      <c r="E15" s="82">
        <f t="shared" si="5"/>
        <v>28</v>
      </c>
      <c r="F15" s="82">
        <f>ROUND((O15/D15), 0)</f>
        <v>18</v>
      </c>
      <c r="G15" s="85"/>
      <c r="H15" s="85"/>
      <c r="I15" s="528">
        <v>99</v>
      </c>
      <c r="J15" s="528">
        <v>335</v>
      </c>
      <c r="K15" s="23">
        <f t="shared" si="6"/>
        <v>434</v>
      </c>
      <c r="L15" s="528">
        <v>141</v>
      </c>
      <c r="M15" s="82">
        <f t="shared" si="7"/>
        <v>240</v>
      </c>
      <c r="N15" s="528">
        <v>22</v>
      </c>
      <c r="O15" s="528">
        <v>303.25</v>
      </c>
      <c r="P15" s="133">
        <f t="shared" si="1"/>
        <v>0.79142621599340479</v>
      </c>
      <c r="Q15" s="528">
        <v>144</v>
      </c>
      <c r="R15" s="528">
        <v>9</v>
      </c>
      <c r="S15" s="84">
        <v>559660.31999999995</v>
      </c>
      <c r="T15" s="24">
        <f t="shared" si="3"/>
        <v>559660</v>
      </c>
      <c r="U15" s="84">
        <v>559660</v>
      </c>
      <c r="V15" s="84">
        <v>0</v>
      </c>
      <c r="W15" s="135">
        <f t="shared" si="2"/>
        <v>0</v>
      </c>
    </row>
    <row r="16" spans="1:220" customFormat="1">
      <c r="A16" s="15" t="s">
        <v>28</v>
      </c>
      <c r="B16" s="528">
        <v>13</v>
      </c>
      <c r="C16" s="528">
        <v>5</v>
      </c>
      <c r="D16" s="23">
        <f t="shared" si="4"/>
        <v>18</v>
      </c>
      <c r="E16" s="82">
        <f t="shared" si="5"/>
        <v>23</v>
      </c>
      <c r="F16" s="82">
        <f>ROUND((O16/D16), 0)</f>
        <v>16</v>
      </c>
      <c r="G16" s="85"/>
      <c r="H16" s="85"/>
      <c r="I16" s="528">
        <v>49</v>
      </c>
      <c r="J16" s="528">
        <v>418</v>
      </c>
      <c r="K16" s="23">
        <f t="shared" si="6"/>
        <v>467</v>
      </c>
      <c r="L16" s="528">
        <v>194</v>
      </c>
      <c r="M16" s="82">
        <f t="shared" si="7"/>
        <v>243</v>
      </c>
      <c r="N16" s="528">
        <v>31</v>
      </c>
      <c r="O16" s="528">
        <v>296.5</v>
      </c>
      <c r="P16" s="133">
        <f t="shared" si="1"/>
        <v>0.81956155143338949</v>
      </c>
      <c r="Q16" s="528">
        <v>200</v>
      </c>
      <c r="R16" s="528">
        <v>9</v>
      </c>
      <c r="S16" s="84">
        <v>489822</v>
      </c>
      <c r="T16" s="24">
        <f t="shared" si="3"/>
        <v>489822</v>
      </c>
      <c r="U16" s="84">
        <v>489822</v>
      </c>
      <c r="V16" s="84">
        <v>0</v>
      </c>
      <c r="W16" s="135">
        <f t="shared" si="2"/>
        <v>0</v>
      </c>
    </row>
    <row r="17" spans="1:23" customFormat="1">
      <c r="A17" s="15" t="s">
        <v>29</v>
      </c>
      <c r="B17" s="528">
        <v>8</v>
      </c>
      <c r="C17" s="528">
        <v>7</v>
      </c>
      <c r="D17" s="23">
        <f t="shared" si="4"/>
        <v>15</v>
      </c>
      <c r="E17" s="82">
        <f t="shared" si="5"/>
        <v>40</v>
      </c>
      <c r="F17" s="82">
        <f>ROUND((O17/D17), 0)</f>
        <v>21</v>
      </c>
      <c r="G17" s="85"/>
      <c r="H17" s="85"/>
      <c r="I17" s="528">
        <v>44</v>
      </c>
      <c r="J17" s="528">
        <v>474</v>
      </c>
      <c r="K17" s="23">
        <f t="shared" si="6"/>
        <v>518</v>
      </c>
      <c r="L17" s="528">
        <v>223</v>
      </c>
      <c r="M17" s="82">
        <f t="shared" si="7"/>
        <v>267</v>
      </c>
      <c r="N17" s="528">
        <v>35</v>
      </c>
      <c r="O17" s="528">
        <v>322</v>
      </c>
      <c r="P17" s="133">
        <f t="shared" si="1"/>
        <v>0.82919254658385089</v>
      </c>
      <c r="Q17" s="528">
        <v>143</v>
      </c>
      <c r="R17" s="528">
        <v>3</v>
      </c>
      <c r="S17" s="84">
        <v>644101.51</v>
      </c>
      <c r="T17" s="24">
        <f t="shared" si="3"/>
        <v>644102</v>
      </c>
      <c r="U17" s="84">
        <v>644102</v>
      </c>
      <c r="V17" s="84">
        <v>0</v>
      </c>
      <c r="W17" s="135">
        <f t="shared" si="2"/>
        <v>0</v>
      </c>
    </row>
    <row r="18" spans="1:23" customFormat="1">
      <c r="A18" s="15">
        <v>2007</v>
      </c>
      <c r="B18" s="528">
        <v>8</v>
      </c>
      <c r="C18" s="528">
        <v>4.5</v>
      </c>
      <c r="D18" s="23">
        <f t="shared" si="4"/>
        <v>12.5</v>
      </c>
      <c r="E18" s="82">
        <f t="shared" si="5"/>
        <v>31</v>
      </c>
      <c r="F18" s="82">
        <f>ROUND((O19/D19), 0)</f>
        <v>10</v>
      </c>
      <c r="G18" s="85"/>
      <c r="H18" s="85"/>
      <c r="I18" s="528">
        <v>44</v>
      </c>
      <c r="J18" s="528">
        <v>332</v>
      </c>
      <c r="K18" s="23">
        <f t="shared" si="6"/>
        <v>376</v>
      </c>
      <c r="L18" s="528">
        <v>149.1</v>
      </c>
      <c r="M18" s="82">
        <f t="shared" si="7"/>
        <v>193.1</v>
      </c>
      <c r="N18" s="528">
        <v>29</v>
      </c>
      <c r="O18" s="528">
        <v>246</v>
      </c>
      <c r="P18" s="133">
        <f t="shared" si="1"/>
        <v>0.78495934959349589</v>
      </c>
      <c r="Q18" s="528">
        <v>126</v>
      </c>
      <c r="R18" s="528">
        <v>10</v>
      </c>
      <c r="S18" s="132">
        <v>1113292</v>
      </c>
      <c r="T18" s="24">
        <f t="shared" si="3"/>
        <v>1113292</v>
      </c>
      <c r="U18" s="132">
        <v>1113292</v>
      </c>
      <c r="V18" s="132">
        <v>0</v>
      </c>
      <c r="W18" s="135">
        <f t="shared" si="2"/>
        <v>0</v>
      </c>
    </row>
    <row r="19" spans="1:23" customFormat="1">
      <c r="A19" s="15">
        <v>2006</v>
      </c>
      <c r="B19" s="528">
        <v>9</v>
      </c>
      <c r="C19" s="528">
        <v>10</v>
      </c>
      <c r="D19" s="23">
        <f t="shared" si="4"/>
        <v>19</v>
      </c>
      <c r="E19" s="82">
        <f t="shared" si="5"/>
        <v>22</v>
      </c>
      <c r="F19" s="82">
        <f>ROUND((O20/D20), 0)</f>
        <v>17</v>
      </c>
      <c r="G19" s="85"/>
      <c r="H19" s="85"/>
      <c r="I19" s="528">
        <v>45</v>
      </c>
      <c r="J19" s="528">
        <v>227</v>
      </c>
      <c r="K19" s="23">
        <f t="shared" si="6"/>
        <v>272</v>
      </c>
      <c r="L19" s="528">
        <v>96</v>
      </c>
      <c r="M19" s="82">
        <f t="shared" si="7"/>
        <v>141</v>
      </c>
      <c r="N19" s="528">
        <v>16</v>
      </c>
      <c r="O19" s="528">
        <v>195</v>
      </c>
      <c r="P19" s="133">
        <f t="shared" si="1"/>
        <v>0.72307692307692306</v>
      </c>
      <c r="Q19" s="528">
        <v>114</v>
      </c>
      <c r="R19" s="528">
        <v>3</v>
      </c>
      <c r="S19" s="132">
        <v>745569</v>
      </c>
      <c r="T19" s="24">
        <f t="shared" si="3"/>
        <v>745569</v>
      </c>
      <c r="U19" s="132">
        <v>745569</v>
      </c>
      <c r="V19" s="132">
        <v>0</v>
      </c>
      <c r="W19" s="135">
        <f t="shared" si="2"/>
        <v>0</v>
      </c>
    </row>
    <row r="20" spans="1:23" customFormat="1">
      <c r="A20" s="15">
        <v>2005</v>
      </c>
      <c r="B20" s="528">
        <v>7</v>
      </c>
      <c r="C20" s="528">
        <v>3</v>
      </c>
      <c r="D20" s="23">
        <f t="shared" si="4"/>
        <v>10</v>
      </c>
      <c r="E20" s="82">
        <f t="shared" si="5"/>
        <v>25</v>
      </c>
      <c r="F20" s="82">
        <f>ROUND((O21/D21), 0)</f>
        <v>14</v>
      </c>
      <c r="G20" s="85"/>
      <c r="H20" s="85"/>
      <c r="I20" s="528">
        <v>57</v>
      </c>
      <c r="J20" s="528">
        <v>197</v>
      </c>
      <c r="K20" s="23">
        <f t="shared" si="6"/>
        <v>254</v>
      </c>
      <c r="L20" s="528">
        <v>78</v>
      </c>
      <c r="M20" s="82">
        <f t="shared" si="7"/>
        <v>135</v>
      </c>
      <c r="N20" s="528">
        <v>19</v>
      </c>
      <c r="O20" s="528">
        <v>173</v>
      </c>
      <c r="P20" s="133">
        <f t="shared" si="1"/>
        <v>0.78034682080924855</v>
      </c>
      <c r="Q20" s="528">
        <v>76</v>
      </c>
      <c r="R20" s="528">
        <v>11</v>
      </c>
      <c r="S20" s="132">
        <v>985988</v>
      </c>
      <c r="T20" s="24">
        <f t="shared" si="3"/>
        <v>985988</v>
      </c>
      <c r="U20" s="132">
        <v>985988</v>
      </c>
      <c r="V20" s="132">
        <v>0</v>
      </c>
      <c r="W20" s="135">
        <f t="shared" si="2"/>
        <v>0</v>
      </c>
    </row>
    <row r="21" spans="1:23" customFormat="1">
      <c r="A21" s="15">
        <v>2004</v>
      </c>
      <c r="B21" s="528">
        <v>7</v>
      </c>
      <c r="C21" s="528">
        <v>4</v>
      </c>
      <c r="D21" s="23">
        <f t="shared" si="4"/>
        <v>11</v>
      </c>
      <c r="E21" s="82">
        <f t="shared" si="5"/>
        <v>22</v>
      </c>
      <c r="F21" s="153"/>
      <c r="G21" s="85"/>
      <c r="H21" s="85"/>
      <c r="I21" s="528">
        <v>48</v>
      </c>
      <c r="J21" s="528">
        <v>179</v>
      </c>
      <c r="K21" s="23">
        <f t="shared" si="6"/>
        <v>227</v>
      </c>
      <c r="L21" s="528">
        <v>63</v>
      </c>
      <c r="M21" s="82">
        <f t="shared" si="7"/>
        <v>111</v>
      </c>
      <c r="N21" s="528">
        <v>19</v>
      </c>
      <c r="O21" s="528">
        <v>157</v>
      </c>
      <c r="P21" s="133">
        <f t="shared" si="1"/>
        <v>0.70700636942675155</v>
      </c>
      <c r="Q21" s="528">
        <v>82</v>
      </c>
      <c r="R21" s="528">
        <v>8</v>
      </c>
      <c r="S21" s="132">
        <v>1034832</v>
      </c>
      <c r="T21" s="24">
        <f t="shared" si="3"/>
        <v>1034832</v>
      </c>
      <c r="U21" s="132">
        <v>1034832</v>
      </c>
      <c r="V21" s="132">
        <v>0</v>
      </c>
      <c r="W21" s="135">
        <f t="shared" si="2"/>
        <v>0</v>
      </c>
    </row>
    <row r="22" spans="1:23" customFormat="1">
      <c r="A22" s="15">
        <v>2003</v>
      </c>
      <c r="B22" s="528">
        <v>7</v>
      </c>
      <c r="C22" s="528">
        <v>1</v>
      </c>
      <c r="D22" s="23">
        <f t="shared" si="4"/>
        <v>8</v>
      </c>
      <c r="E22" s="82">
        <f t="shared" si="5"/>
        <v>19</v>
      </c>
      <c r="F22" s="82">
        <f>ROUND((O22/D22), 0)</f>
        <v>17</v>
      </c>
      <c r="G22" s="85"/>
      <c r="H22" s="85"/>
      <c r="I22" s="528">
        <v>50</v>
      </c>
      <c r="J22" s="528">
        <v>154</v>
      </c>
      <c r="K22" s="23">
        <f t="shared" si="6"/>
        <v>204</v>
      </c>
      <c r="L22" s="528">
        <v>52</v>
      </c>
      <c r="M22" s="82">
        <f t="shared" si="7"/>
        <v>102</v>
      </c>
      <c r="N22" s="528">
        <v>9</v>
      </c>
      <c r="O22" s="528">
        <v>135</v>
      </c>
      <c r="P22" s="133">
        <f t="shared" si="1"/>
        <v>0.75555555555555554</v>
      </c>
      <c r="Q22" s="528">
        <v>65</v>
      </c>
      <c r="R22" s="528">
        <v>6</v>
      </c>
      <c r="S22" s="132">
        <v>911397</v>
      </c>
      <c r="T22" s="24">
        <f t="shared" si="3"/>
        <v>911397</v>
      </c>
      <c r="U22" s="132">
        <v>911397</v>
      </c>
      <c r="V22" s="132">
        <v>0</v>
      </c>
      <c r="W22" s="135">
        <f t="shared" si="2"/>
        <v>0</v>
      </c>
    </row>
    <row r="23" spans="1:23" customFormat="1">
      <c r="A23" s="15">
        <v>2002</v>
      </c>
      <c r="B23" s="528">
        <v>6</v>
      </c>
      <c r="C23" s="528">
        <f>ROUND(2.3, 0)</f>
        <v>2</v>
      </c>
      <c r="D23" s="23">
        <f t="shared" si="4"/>
        <v>8</v>
      </c>
      <c r="E23" s="82">
        <f t="shared" si="5"/>
        <v>24</v>
      </c>
      <c r="F23" s="82">
        <f>ROUND((O23/D23), 0)</f>
        <v>18</v>
      </c>
      <c r="G23" s="85"/>
      <c r="H23" s="85"/>
      <c r="I23" s="528">
        <v>44</v>
      </c>
      <c r="J23" s="528">
        <v>148</v>
      </c>
      <c r="K23" s="23">
        <f t="shared" si="6"/>
        <v>192</v>
      </c>
      <c r="L23" s="528">
        <f>ROUND(51.75, 0)</f>
        <v>52</v>
      </c>
      <c r="M23" s="82">
        <f t="shared" si="7"/>
        <v>96</v>
      </c>
      <c r="N23" s="528">
        <v>7</v>
      </c>
      <c r="O23" s="528">
        <v>145</v>
      </c>
      <c r="P23" s="133">
        <f t="shared" si="1"/>
        <v>0.66206896551724137</v>
      </c>
      <c r="Q23" s="528">
        <v>45</v>
      </c>
      <c r="R23" s="528">
        <v>8</v>
      </c>
      <c r="S23" s="132">
        <v>978752</v>
      </c>
      <c r="T23" s="24">
        <f t="shared" si="3"/>
        <v>978752</v>
      </c>
      <c r="U23" s="132">
        <v>845853</v>
      </c>
      <c r="V23" s="132">
        <v>132899</v>
      </c>
      <c r="W23" s="135">
        <f t="shared" si="2"/>
        <v>0.13578414143725887</v>
      </c>
    </row>
    <row r="24" spans="1:23" s="62" customFormat="1">
      <c r="G24" s="63"/>
      <c r="H24" s="63"/>
    </row>
    <row r="25" spans="1:23" s="62" customFormat="1">
      <c r="G25" s="63"/>
      <c r="H25" s="63"/>
    </row>
    <row r="26" spans="1:23" s="62" customFormat="1">
      <c r="G26" s="63"/>
      <c r="H26" s="63"/>
    </row>
    <row r="27" spans="1:23" s="62" customFormat="1">
      <c r="G27" s="63"/>
      <c r="H27" s="63"/>
    </row>
    <row r="28" spans="1:23" s="62" customFormat="1">
      <c r="G28" s="63"/>
      <c r="H28" s="63"/>
    </row>
    <row r="29" spans="1:23" s="62" customFormat="1">
      <c r="G29" s="63"/>
      <c r="H29" s="63"/>
    </row>
    <row r="30" spans="1:23" s="62" customFormat="1">
      <c r="G30" s="63"/>
      <c r="H30" s="63"/>
    </row>
    <row r="31" spans="1:23" s="62" customFormat="1">
      <c r="G31" s="63"/>
      <c r="H31" s="63"/>
    </row>
    <row r="32" spans="1:23" s="62" customFormat="1">
      <c r="G32" s="63"/>
      <c r="H32" s="63"/>
    </row>
    <row r="33" spans="7:8" s="62" customFormat="1">
      <c r="G33" s="63"/>
      <c r="H33" s="63"/>
    </row>
    <row r="34" spans="7:8" s="62" customFormat="1">
      <c r="G34" s="63"/>
      <c r="H34" s="63"/>
    </row>
    <row r="35" spans="7:8" s="62" customFormat="1">
      <c r="G35" s="63"/>
      <c r="H35" s="63"/>
    </row>
  </sheetData>
  <printOptions headings="1" gridLines="1"/>
  <pageMargins left="0.5" right="0.5" top="0.5" bottom="0.5" header="0" footer="0"/>
  <pageSetup paperSize="5" scale="62" orientation="landscape" r:id="rId1"/>
  <legacy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L35"/>
  <sheetViews>
    <sheetView workbookViewId="0">
      <selection activeCell="A24" sqref="A24:W24"/>
    </sheetView>
  </sheetViews>
  <sheetFormatPr defaultColWidth="8.85546875" defaultRowHeight="15"/>
  <cols>
    <col min="1" max="1" width="11" style="63" customWidth="1"/>
    <col min="2" max="2" width="10.140625" style="63" bestFit="1" customWidth="1"/>
    <col min="3" max="3" width="8.42578125" style="63" bestFit="1" customWidth="1"/>
    <col min="4" max="4" width="9.28515625" style="63" bestFit="1" customWidth="1"/>
    <col min="5" max="5" width="12.28515625" style="63" bestFit="1" customWidth="1"/>
    <col min="6" max="6" width="11.42578125" style="63" bestFit="1" customWidth="1"/>
    <col min="7" max="8" width="12.140625" style="63" customWidth="1"/>
    <col min="9" max="9" width="8.85546875" style="63" bestFit="1" customWidth="1"/>
    <col min="10" max="11" width="11.85546875" style="63" bestFit="1" customWidth="1"/>
    <col min="12" max="12" width="12.28515625" style="63" bestFit="1" customWidth="1"/>
    <col min="13" max="14" width="13.140625" style="63" bestFit="1" customWidth="1"/>
    <col min="15" max="15" width="13.42578125" style="63" bestFit="1" customWidth="1"/>
    <col min="16" max="16" width="14.28515625" style="63" customWidth="1"/>
    <col min="17" max="17" width="12.42578125" style="63" bestFit="1" customWidth="1"/>
    <col min="18" max="18" width="9" style="63" bestFit="1" customWidth="1"/>
    <col min="19" max="19" width="11.85546875" style="63" bestFit="1" customWidth="1"/>
    <col min="20" max="20" width="12.85546875" style="63" bestFit="1" customWidth="1"/>
    <col min="21" max="21" width="10.42578125" style="63" bestFit="1" customWidth="1"/>
    <col min="22" max="22" width="10.85546875" style="63" bestFit="1" customWidth="1"/>
    <col min="23" max="23" width="12.85546875" style="63" bestFit="1" customWidth="1"/>
    <col min="24" max="16384" width="8.85546875" style="63"/>
  </cols>
  <sheetData>
    <row r="1" spans="1:220" s="1" customFormat="1" ht="18.75">
      <c r="A1" s="1" t="s">
        <v>63</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row>
    <row r="2" spans="1:220" s="3"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row>
    <row r="3" spans="1:220" s="72" customFormat="1">
      <c r="A3" s="105">
        <v>2022</v>
      </c>
      <c r="B3" s="66">
        <v>11</v>
      </c>
      <c r="C3" s="66">
        <v>2</v>
      </c>
      <c r="D3" s="106">
        <f>B3+C3</f>
        <v>13</v>
      </c>
      <c r="E3" s="82">
        <f>ROUND((O3/B3),0)</f>
        <v>8</v>
      </c>
      <c r="F3" s="82">
        <f>ROUND((O3/D3), 0)</f>
        <v>7</v>
      </c>
      <c r="G3" s="66">
        <v>8</v>
      </c>
      <c r="H3" s="66">
        <v>2</v>
      </c>
      <c r="I3" s="66">
        <v>77</v>
      </c>
      <c r="J3" s="66">
        <v>11</v>
      </c>
      <c r="K3" s="106">
        <f>I3+J3</f>
        <v>88</v>
      </c>
      <c r="L3" s="66">
        <v>3.96</v>
      </c>
      <c r="M3" s="106">
        <f>I3+L3</f>
        <v>80.959999999999994</v>
      </c>
      <c r="N3" s="106" t="s">
        <v>64</v>
      </c>
      <c r="O3" s="66">
        <v>90.68</v>
      </c>
      <c r="P3" s="133">
        <f>M3/O3</f>
        <v>0.89280988089986757</v>
      </c>
      <c r="Q3" s="66">
        <v>32</v>
      </c>
      <c r="R3" s="66">
        <v>11</v>
      </c>
      <c r="S3" s="304">
        <v>1443862</v>
      </c>
      <c r="T3" s="297">
        <f>SUM(U3:V3)</f>
        <v>1832132</v>
      </c>
      <c r="U3" s="304">
        <v>1242684</v>
      </c>
      <c r="V3" s="304">
        <v>589448</v>
      </c>
      <c r="W3" s="135">
        <f>V3/T3</f>
        <v>0.32172791043440102</v>
      </c>
    </row>
    <row r="4" spans="1:220" s="72" customFormat="1">
      <c r="A4" s="105">
        <v>2021</v>
      </c>
      <c r="B4" s="66">
        <v>11</v>
      </c>
      <c r="C4" s="66">
        <v>1.33</v>
      </c>
      <c r="D4" s="106">
        <f>B4+C4</f>
        <v>12.33</v>
      </c>
      <c r="E4" s="82">
        <f>ROUND((O4/B4),0)</f>
        <v>9</v>
      </c>
      <c r="F4" s="82">
        <f t="shared" ref="F4" si="0">ROUND((O4/D4), 0)</f>
        <v>8</v>
      </c>
      <c r="G4" s="66">
        <v>8</v>
      </c>
      <c r="H4" s="66">
        <v>1.33</v>
      </c>
      <c r="I4" s="66">
        <v>85</v>
      </c>
      <c r="J4" s="66">
        <v>10</v>
      </c>
      <c r="K4" s="106">
        <f>I4+J4</f>
        <v>95</v>
      </c>
      <c r="L4" s="66">
        <v>3.6</v>
      </c>
      <c r="M4" s="106">
        <f>I4+L4</f>
        <v>88.6</v>
      </c>
      <c r="N4" s="106" t="s">
        <v>64</v>
      </c>
      <c r="O4" s="66">
        <v>102.64</v>
      </c>
      <c r="P4" s="133">
        <f t="shared" ref="P4" si="1">M4/O4</f>
        <v>0.86321122369446601</v>
      </c>
      <c r="Q4" s="66">
        <v>42</v>
      </c>
      <c r="R4" s="66">
        <v>9</v>
      </c>
      <c r="S4" s="304" t="s">
        <v>65</v>
      </c>
      <c r="T4" s="297">
        <f t="shared" ref="T4" si="2">SUM(U4:V4)</f>
        <v>1816085</v>
      </c>
      <c r="U4" s="304">
        <v>1242684</v>
      </c>
      <c r="V4" s="304">
        <v>573401</v>
      </c>
      <c r="W4" s="135">
        <f t="shared" ref="W4" si="3">V4/T4</f>
        <v>0.31573467100934155</v>
      </c>
    </row>
    <row r="5" spans="1:220" s="72" customFormat="1">
      <c r="A5" s="105">
        <v>2020</v>
      </c>
      <c r="B5" s="66">
        <v>9</v>
      </c>
      <c r="C5" s="66">
        <v>2.67</v>
      </c>
      <c r="D5" s="106">
        <f>B5+C5</f>
        <v>11.67</v>
      </c>
      <c r="E5" s="82">
        <f>ROUND((O5/B5),0)</f>
        <v>12</v>
      </c>
      <c r="F5" s="82">
        <f>ROUND((O5/D5), 0)</f>
        <v>9</v>
      </c>
      <c r="G5" s="66">
        <v>9</v>
      </c>
      <c r="H5" s="66">
        <v>3</v>
      </c>
      <c r="I5" s="66">
        <v>87</v>
      </c>
      <c r="J5" s="66">
        <v>13</v>
      </c>
      <c r="K5" s="106">
        <f>I5+J5</f>
        <v>100</v>
      </c>
      <c r="L5" s="66">
        <v>4.68</v>
      </c>
      <c r="M5" s="106">
        <f>I5+L5</f>
        <v>91.68</v>
      </c>
      <c r="N5" s="106" t="s">
        <v>64</v>
      </c>
      <c r="O5" s="66">
        <v>105.36</v>
      </c>
      <c r="P5" s="133">
        <f t="shared" ref="P5" si="4">M5/O5</f>
        <v>0.87015945330296129</v>
      </c>
      <c r="Q5" s="66">
        <v>34</v>
      </c>
      <c r="R5" s="66">
        <v>12</v>
      </c>
      <c r="S5" s="304">
        <v>1492761</v>
      </c>
      <c r="T5" s="297">
        <f>SUM(U5:V5)</f>
        <v>1755335</v>
      </c>
      <c r="U5" s="304">
        <v>1185208</v>
      </c>
      <c r="V5" s="304">
        <v>570127</v>
      </c>
      <c r="W5" s="135">
        <f t="shared" ref="W5" si="5">V5/T5</f>
        <v>0.3247966912298792</v>
      </c>
    </row>
    <row r="6" spans="1:220" s="64" customFormat="1">
      <c r="A6" s="105">
        <v>2019</v>
      </c>
      <c r="B6" s="295">
        <v>8</v>
      </c>
      <c r="C6" s="295">
        <v>1.33</v>
      </c>
      <c r="D6" s="106">
        <v>9.33</v>
      </c>
      <c r="E6" s="82">
        <f>ROUND((O6/B6),0)</f>
        <v>12</v>
      </c>
      <c r="F6" s="82">
        <f>ROUND((O6/D6), 0)</f>
        <v>11</v>
      </c>
      <c r="G6" s="295">
        <v>8</v>
      </c>
      <c r="H6" s="295">
        <v>1.33</v>
      </c>
      <c r="I6" s="295">
        <v>80</v>
      </c>
      <c r="J6" s="295">
        <v>14</v>
      </c>
      <c r="K6" s="106">
        <v>94</v>
      </c>
      <c r="L6" s="295">
        <v>5.04</v>
      </c>
      <c r="M6" s="106">
        <f>I6+L6</f>
        <v>85.04</v>
      </c>
      <c r="N6" s="106" t="s">
        <v>64</v>
      </c>
      <c r="O6" s="295">
        <v>99.08</v>
      </c>
      <c r="P6" s="133">
        <f t="shared" ref="P6" si="6">M6/O6</f>
        <v>0.85829632620104979</v>
      </c>
      <c r="Q6" s="295">
        <v>20</v>
      </c>
      <c r="R6" s="295">
        <v>4</v>
      </c>
      <c r="S6" s="296">
        <v>1280430</v>
      </c>
      <c r="T6" s="297">
        <f>SUM(U6:V6)</f>
        <v>2156709</v>
      </c>
      <c r="U6" s="296">
        <v>1338126</v>
      </c>
      <c r="V6" s="296">
        <v>818583</v>
      </c>
      <c r="W6" s="135">
        <f t="shared" ref="W6" si="7">V6/T6</f>
        <v>0.37955190060411487</v>
      </c>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row>
    <row r="7" spans="1:220" s="14" customFormat="1">
      <c r="A7" s="10">
        <v>2018</v>
      </c>
      <c r="B7" s="17">
        <v>7</v>
      </c>
      <c r="C7" s="17">
        <v>3.33</v>
      </c>
      <c r="D7" s="23">
        <f>SUM(B7:C7)</f>
        <v>10.33</v>
      </c>
      <c r="E7" s="82">
        <f>ROUND((O7/B7), 0)</f>
        <v>12</v>
      </c>
      <c r="F7" s="82">
        <f>ROUND((O7/D7), 0)</f>
        <v>8</v>
      </c>
      <c r="G7" s="17">
        <v>7</v>
      </c>
      <c r="H7" s="17">
        <v>1.67</v>
      </c>
      <c r="I7" s="17">
        <v>63</v>
      </c>
      <c r="J7" s="17">
        <v>15</v>
      </c>
      <c r="K7" s="23">
        <f>SUM(I7:J7)</f>
        <v>78</v>
      </c>
      <c r="L7" s="17">
        <v>5.4</v>
      </c>
      <c r="M7" s="82">
        <f>(I7+L7)</f>
        <v>68.400000000000006</v>
      </c>
      <c r="N7" s="284" t="s">
        <v>64</v>
      </c>
      <c r="O7" s="17">
        <v>80.599999999999994</v>
      </c>
      <c r="P7" s="133">
        <f>M7/O7</f>
        <v>0.84863523573201005</v>
      </c>
      <c r="Q7" s="17">
        <v>19</v>
      </c>
      <c r="R7" s="17">
        <v>18</v>
      </c>
      <c r="S7" s="20">
        <v>1505924</v>
      </c>
      <c r="T7" s="24">
        <f>SUM(U7:V7)</f>
        <v>1540676</v>
      </c>
      <c r="U7" s="20">
        <v>1336000</v>
      </c>
      <c r="V7" s="20">
        <v>204676</v>
      </c>
      <c r="W7" s="135">
        <f>V7/T7</f>
        <v>0.13284817833210877</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14" customFormat="1">
      <c r="A8" s="10">
        <v>2017</v>
      </c>
      <c r="B8" s="17">
        <v>8</v>
      </c>
      <c r="C8" s="17">
        <v>1.65</v>
      </c>
      <c r="D8" s="65">
        <f>B8+C8</f>
        <v>9.65</v>
      </c>
      <c r="E8" s="13">
        <f>ROUND((O8/B8), 0)</f>
        <v>9</v>
      </c>
      <c r="F8" s="13">
        <f>ROUND((O8/D8), 0)</f>
        <v>7</v>
      </c>
      <c r="G8" s="17">
        <v>8</v>
      </c>
      <c r="H8" s="17">
        <v>1.65</v>
      </c>
      <c r="I8" s="17">
        <v>44</v>
      </c>
      <c r="J8" s="17">
        <v>16</v>
      </c>
      <c r="K8" s="65">
        <f>I8+J8</f>
        <v>60</v>
      </c>
      <c r="L8" s="17">
        <v>8.67</v>
      </c>
      <c r="M8" s="13">
        <f>I8+L8</f>
        <v>52.67</v>
      </c>
      <c r="N8" s="19" t="s">
        <v>40</v>
      </c>
      <c r="O8" s="17">
        <v>68.67</v>
      </c>
      <c r="P8" s="133">
        <f t="shared" ref="P8:P23" si="8">M8/O8</f>
        <v>0.76700160186398714</v>
      </c>
      <c r="Q8" s="17">
        <v>16</v>
      </c>
      <c r="R8" s="17">
        <v>18</v>
      </c>
      <c r="S8" s="254">
        <v>1147371</v>
      </c>
      <c r="T8" s="68">
        <f>SUM(U8:V8)</f>
        <v>1342578</v>
      </c>
      <c r="U8" s="254">
        <v>1106036</v>
      </c>
      <c r="V8" s="254">
        <v>236542</v>
      </c>
      <c r="W8" s="135">
        <f t="shared" ref="W8:W23" si="9">V8/T8</f>
        <v>0.17618492184439191</v>
      </c>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row>
    <row r="9" spans="1:220" s="14" customFormat="1">
      <c r="A9" s="10">
        <v>2016</v>
      </c>
      <c r="B9" s="54">
        <v>9</v>
      </c>
      <c r="C9" s="54">
        <v>2.64</v>
      </c>
      <c r="D9" s="65">
        <f>B9+C9</f>
        <v>11.64</v>
      </c>
      <c r="E9" s="13">
        <f>ROUND((O9/B9), 0)</f>
        <v>6</v>
      </c>
      <c r="F9" s="13">
        <f>ROUND((O9/D9), 0)</f>
        <v>5</v>
      </c>
      <c r="G9" s="54">
        <v>7</v>
      </c>
      <c r="H9" s="54">
        <v>8</v>
      </c>
      <c r="I9" s="54">
        <v>35</v>
      </c>
      <c r="J9" s="54">
        <v>15</v>
      </c>
      <c r="K9" s="65">
        <f>I9+J9</f>
        <v>50</v>
      </c>
      <c r="L9" s="54">
        <v>5.4</v>
      </c>
      <c r="M9" s="13">
        <f>I9+L9</f>
        <v>40.4</v>
      </c>
      <c r="N9" s="19" t="s">
        <v>40</v>
      </c>
      <c r="O9" s="54">
        <v>58.33</v>
      </c>
      <c r="P9" s="133">
        <f t="shared" si="8"/>
        <v>0.69261100634321959</v>
      </c>
      <c r="Q9" s="54">
        <v>32</v>
      </c>
      <c r="R9" s="54">
        <v>7</v>
      </c>
      <c r="S9" s="61">
        <v>1021876</v>
      </c>
      <c r="T9" s="68">
        <f>SUM(U9:V9)</f>
        <v>1199096.48</v>
      </c>
      <c r="U9" s="61">
        <v>1074892</v>
      </c>
      <c r="V9" s="61">
        <v>124204.48</v>
      </c>
      <c r="W9" s="135">
        <f t="shared" si="9"/>
        <v>0.10358172346565474</v>
      </c>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row>
    <row r="10" spans="1:220" s="16" customFormat="1">
      <c r="A10" s="15">
        <v>2015</v>
      </c>
      <c r="B10" s="70">
        <v>7</v>
      </c>
      <c r="C10" s="70">
        <v>4.3</v>
      </c>
      <c r="D10" s="65">
        <v>11.3</v>
      </c>
      <c r="E10" s="65">
        <v>11.2</v>
      </c>
      <c r="F10" s="65">
        <v>6.9</v>
      </c>
      <c r="G10" s="83"/>
      <c r="H10" s="83"/>
      <c r="I10" s="70">
        <v>53</v>
      </c>
      <c r="J10" s="70">
        <v>10</v>
      </c>
      <c r="K10" s="65">
        <v>63</v>
      </c>
      <c r="L10" s="70">
        <v>5</v>
      </c>
      <c r="M10" s="65">
        <v>58</v>
      </c>
      <c r="N10" s="19" t="s">
        <v>40</v>
      </c>
      <c r="O10" s="70">
        <v>78.319999999999993</v>
      </c>
      <c r="P10" s="133">
        <f t="shared" si="8"/>
        <v>0.74055158324821257</v>
      </c>
      <c r="Q10" s="70">
        <v>41</v>
      </c>
      <c r="R10" s="70">
        <v>8</v>
      </c>
      <c r="S10" s="78">
        <v>1491684</v>
      </c>
      <c r="T10" s="79">
        <v>1519688</v>
      </c>
      <c r="U10" s="78">
        <v>1090457</v>
      </c>
      <c r="V10" s="78">
        <v>429231</v>
      </c>
      <c r="W10" s="135">
        <f t="shared" si="9"/>
        <v>0.2824467917098773</v>
      </c>
    </row>
    <row r="11" spans="1:220" s="16" customFormat="1">
      <c r="A11" s="15">
        <v>2014</v>
      </c>
      <c r="B11" s="70">
        <v>7</v>
      </c>
      <c r="C11" s="70">
        <v>1.3</v>
      </c>
      <c r="D11" s="65">
        <f>B11+C11</f>
        <v>8.3000000000000007</v>
      </c>
      <c r="E11" s="13">
        <f t="shared" ref="E11:E23" si="10">ROUND((O11/B11), 0)</f>
        <v>14</v>
      </c>
      <c r="F11" s="13">
        <f t="shared" ref="F11:F23" si="11">ROUND((O11/D11), 0)</f>
        <v>12</v>
      </c>
      <c r="G11" s="83"/>
      <c r="H11" s="83"/>
      <c r="I11" s="70">
        <v>76</v>
      </c>
      <c r="J11" s="70">
        <v>11</v>
      </c>
      <c r="K11" s="65">
        <f>I11+J11</f>
        <v>87</v>
      </c>
      <c r="L11" s="70">
        <v>2.66</v>
      </c>
      <c r="M11" s="13">
        <f>I11+L11</f>
        <v>78.66</v>
      </c>
      <c r="N11" s="19" t="s">
        <v>40</v>
      </c>
      <c r="O11" s="70">
        <v>97</v>
      </c>
      <c r="P11" s="133">
        <f t="shared" si="8"/>
        <v>0.81092783505154631</v>
      </c>
      <c r="Q11" s="70">
        <v>30</v>
      </c>
      <c r="R11" s="70">
        <v>8</v>
      </c>
      <c r="S11" s="71">
        <v>1404998</v>
      </c>
      <c r="T11" s="68">
        <f t="shared" ref="T11:T23" si="12">SUM(U11:V11)</f>
        <v>1308856</v>
      </c>
      <c r="U11" s="71">
        <v>828212</v>
      </c>
      <c r="V11" s="71">
        <v>480644</v>
      </c>
      <c r="W11" s="135">
        <f t="shared" si="9"/>
        <v>0.36722450750884744</v>
      </c>
    </row>
    <row r="12" spans="1:220" customFormat="1">
      <c r="A12" s="15">
        <v>2013</v>
      </c>
      <c r="B12" s="528">
        <v>8</v>
      </c>
      <c r="C12" s="528">
        <v>1.3</v>
      </c>
      <c r="D12" s="23">
        <f>B12+C12</f>
        <v>9.3000000000000007</v>
      </c>
      <c r="E12" s="82">
        <f t="shared" si="10"/>
        <v>12</v>
      </c>
      <c r="F12" s="82">
        <f t="shared" si="11"/>
        <v>11</v>
      </c>
      <c r="G12" s="85"/>
      <c r="H12" s="85"/>
      <c r="I12" s="528">
        <v>77</v>
      </c>
      <c r="J12" s="528">
        <v>8</v>
      </c>
      <c r="K12" s="23">
        <f>I12+J12</f>
        <v>85</v>
      </c>
      <c r="L12" s="528">
        <v>2.66</v>
      </c>
      <c r="M12" s="82">
        <f>I12+L12</f>
        <v>79.66</v>
      </c>
      <c r="N12" s="19" t="s">
        <v>40</v>
      </c>
      <c r="O12" s="528">
        <v>97.99</v>
      </c>
      <c r="P12" s="133">
        <f t="shared" si="8"/>
        <v>0.81294009592815597</v>
      </c>
      <c r="Q12" s="528">
        <v>56</v>
      </c>
      <c r="R12" s="528">
        <v>9</v>
      </c>
      <c r="S12" s="84">
        <v>1404382</v>
      </c>
      <c r="T12" s="24">
        <f t="shared" si="12"/>
        <v>1376092</v>
      </c>
      <c r="U12" s="84">
        <v>948585</v>
      </c>
      <c r="V12" s="84">
        <v>427507</v>
      </c>
      <c r="W12" s="135">
        <f t="shared" si="9"/>
        <v>0.31066745537362328</v>
      </c>
    </row>
    <row r="13" spans="1:220" customFormat="1">
      <c r="A13" s="15">
        <v>2012</v>
      </c>
      <c r="B13" s="528">
        <v>7</v>
      </c>
      <c r="C13" s="528">
        <v>1.67</v>
      </c>
      <c r="D13" s="23">
        <f>B13+C13</f>
        <v>8.67</v>
      </c>
      <c r="E13" s="82">
        <f t="shared" si="10"/>
        <v>16</v>
      </c>
      <c r="F13" s="82">
        <f t="shared" si="11"/>
        <v>13</v>
      </c>
      <c r="G13" s="85"/>
      <c r="H13" s="85"/>
      <c r="I13" s="528">
        <v>89</v>
      </c>
      <c r="J13" s="528">
        <v>10</v>
      </c>
      <c r="K13" s="23">
        <f>I13+J13</f>
        <v>99</v>
      </c>
      <c r="L13" s="528">
        <v>4.66</v>
      </c>
      <c r="M13" s="82">
        <f>I13+L13</f>
        <v>93.66</v>
      </c>
      <c r="N13" s="19" t="s">
        <v>40</v>
      </c>
      <c r="O13" s="528">
        <v>109.99</v>
      </c>
      <c r="P13" s="133">
        <f t="shared" si="8"/>
        <v>0.85153195745067733</v>
      </c>
      <c r="Q13" s="528">
        <v>47</v>
      </c>
      <c r="R13" s="528">
        <v>2</v>
      </c>
      <c r="S13" s="84">
        <v>1334999</v>
      </c>
      <c r="T13" s="24">
        <f t="shared" si="12"/>
        <v>1142131</v>
      </c>
      <c r="U13" s="84">
        <v>1003033</v>
      </c>
      <c r="V13" s="84">
        <v>139098</v>
      </c>
      <c r="W13" s="135">
        <f t="shared" si="9"/>
        <v>0.12178813113381914</v>
      </c>
    </row>
    <row r="14" spans="1:220" customFormat="1">
      <c r="A14" s="15" t="s">
        <v>26</v>
      </c>
      <c r="B14" s="528">
        <v>7</v>
      </c>
      <c r="C14" s="528">
        <v>1</v>
      </c>
      <c r="D14" s="23">
        <f t="shared" ref="D14:D23" si="13">SUM(B14:C14)</f>
        <v>8</v>
      </c>
      <c r="E14" s="82">
        <f t="shared" si="10"/>
        <v>47</v>
      </c>
      <c r="F14" s="82">
        <f t="shared" si="11"/>
        <v>41</v>
      </c>
      <c r="G14" s="85"/>
      <c r="H14" s="85"/>
      <c r="I14" s="528">
        <v>105</v>
      </c>
      <c r="J14" s="528">
        <v>10</v>
      </c>
      <c r="K14" s="23">
        <f t="shared" ref="K14:K23" si="14">SUM(I14:J14)</f>
        <v>115</v>
      </c>
      <c r="L14" s="528">
        <v>6.66</v>
      </c>
      <c r="M14" s="82">
        <f t="shared" ref="M14:M23" si="15">(I14+L14)</f>
        <v>111.66</v>
      </c>
      <c r="N14" s="19" t="s">
        <v>40</v>
      </c>
      <c r="O14" s="528">
        <v>327.65999999999997</v>
      </c>
      <c r="P14" s="133">
        <f t="shared" si="8"/>
        <v>0.34078007690899104</v>
      </c>
      <c r="Q14" s="528">
        <v>53</v>
      </c>
      <c r="R14" s="528">
        <v>0</v>
      </c>
      <c r="S14" s="84">
        <v>1363382</v>
      </c>
      <c r="T14" s="24">
        <f t="shared" si="12"/>
        <v>1466967</v>
      </c>
      <c r="U14" s="84">
        <v>1248937</v>
      </c>
      <c r="V14" s="84">
        <v>218030</v>
      </c>
      <c r="W14" s="135">
        <f t="shared" si="9"/>
        <v>0.14862638355191357</v>
      </c>
    </row>
    <row r="15" spans="1:220" customFormat="1">
      <c r="A15" s="15" t="s">
        <v>27</v>
      </c>
      <c r="B15" s="528">
        <v>7</v>
      </c>
      <c r="C15" s="528">
        <v>2</v>
      </c>
      <c r="D15" s="23">
        <f t="shared" si="13"/>
        <v>9</v>
      </c>
      <c r="E15" s="82">
        <f t="shared" si="10"/>
        <v>32</v>
      </c>
      <c r="F15" s="82">
        <f t="shared" si="11"/>
        <v>25</v>
      </c>
      <c r="G15" s="85"/>
      <c r="H15" s="85"/>
      <c r="I15" s="528">
        <v>106</v>
      </c>
      <c r="J15" s="528">
        <v>12</v>
      </c>
      <c r="K15" s="23">
        <f t="shared" si="14"/>
        <v>118</v>
      </c>
      <c r="L15" s="528">
        <v>4.25</v>
      </c>
      <c r="M15" s="82">
        <f t="shared" si="15"/>
        <v>110.25</v>
      </c>
      <c r="N15" s="19" t="s">
        <v>40</v>
      </c>
      <c r="O15" s="528">
        <v>226.25</v>
      </c>
      <c r="P15" s="133">
        <f t="shared" si="8"/>
        <v>0.48729281767955801</v>
      </c>
      <c r="Q15" s="528">
        <v>50</v>
      </c>
      <c r="R15" s="528">
        <v>0</v>
      </c>
      <c r="S15" s="84">
        <v>1216064</v>
      </c>
      <c r="T15" s="24">
        <f t="shared" si="12"/>
        <v>1216064</v>
      </c>
      <c r="U15" s="84">
        <v>1043674</v>
      </c>
      <c r="V15" s="84">
        <v>172390</v>
      </c>
      <c r="W15" s="135">
        <f t="shared" si="9"/>
        <v>0.14176063101942002</v>
      </c>
    </row>
    <row r="16" spans="1:220" customFormat="1">
      <c r="A16" s="15" t="s">
        <v>28</v>
      </c>
      <c r="B16" s="528">
        <v>7</v>
      </c>
      <c r="C16" s="528">
        <v>2</v>
      </c>
      <c r="D16" s="23">
        <f t="shared" si="13"/>
        <v>9</v>
      </c>
      <c r="E16" s="82">
        <f t="shared" si="10"/>
        <v>37</v>
      </c>
      <c r="F16" s="82">
        <f t="shared" si="11"/>
        <v>28</v>
      </c>
      <c r="G16" s="85"/>
      <c r="H16" s="85"/>
      <c r="I16" s="528">
        <v>110</v>
      </c>
      <c r="J16" s="528">
        <v>16</v>
      </c>
      <c r="K16" s="23">
        <f t="shared" si="14"/>
        <v>126</v>
      </c>
      <c r="L16" s="528">
        <v>7.5</v>
      </c>
      <c r="M16" s="82">
        <f t="shared" si="15"/>
        <v>117.5</v>
      </c>
      <c r="N16" s="19" t="s">
        <v>40</v>
      </c>
      <c r="O16" s="528">
        <v>255.5</v>
      </c>
      <c r="P16" s="133">
        <f t="shared" si="8"/>
        <v>0.45988258317025438</v>
      </c>
      <c r="Q16" s="528">
        <v>56</v>
      </c>
      <c r="R16" s="528">
        <v>0</v>
      </c>
      <c r="S16" s="84">
        <v>1217042</v>
      </c>
      <c r="T16" s="24">
        <f t="shared" si="12"/>
        <v>1217042</v>
      </c>
      <c r="U16" s="84">
        <v>972298</v>
      </c>
      <c r="V16" s="84">
        <v>244744</v>
      </c>
      <c r="W16" s="135">
        <f t="shared" si="9"/>
        <v>0.20109741487968369</v>
      </c>
    </row>
    <row r="17" spans="1:23" customFormat="1">
      <c r="A17" s="15" t="s">
        <v>29</v>
      </c>
      <c r="B17" s="528">
        <v>7</v>
      </c>
      <c r="C17" s="528">
        <v>1.66</v>
      </c>
      <c r="D17" s="23">
        <f t="shared" si="13"/>
        <v>8.66</v>
      </c>
      <c r="E17" s="82">
        <f t="shared" si="10"/>
        <v>43</v>
      </c>
      <c r="F17" s="82">
        <f t="shared" si="11"/>
        <v>35</v>
      </c>
      <c r="G17" s="85"/>
      <c r="H17" s="85"/>
      <c r="I17" s="528">
        <v>115</v>
      </c>
      <c r="J17" s="528">
        <v>16</v>
      </c>
      <c r="K17" s="23">
        <f t="shared" si="14"/>
        <v>131</v>
      </c>
      <c r="L17" s="528">
        <v>10.25</v>
      </c>
      <c r="M17" s="82">
        <f t="shared" si="15"/>
        <v>125.25</v>
      </c>
      <c r="N17" s="19" t="s">
        <v>40</v>
      </c>
      <c r="O17" s="528">
        <v>301</v>
      </c>
      <c r="P17" s="133">
        <f t="shared" si="8"/>
        <v>0.41611295681063121</v>
      </c>
      <c r="Q17" s="528">
        <v>50</v>
      </c>
      <c r="R17" s="528">
        <v>0</v>
      </c>
      <c r="S17" s="84">
        <v>1084317</v>
      </c>
      <c r="T17" s="24">
        <f t="shared" si="12"/>
        <v>1084317</v>
      </c>
      <c r="U17" s="84">
        <v>933851</v>
      </c>
      <c r="V17" s="84">
        <v>150466</v>
      </c>
      <c r="W17" s="135">
        <f t="shared" si="9"/>
        <v>0.13876569305839528</v>
      </c>
    </row>
    <row r="18" spans="1:23" customFormat="1">
      <c r="A18" s="15">
        <v>2007</v>
      </c>
      <c r="B18" s="528">
        <v>7</v>
      </c>
      <c r="C18" s="528">
        <v>1.3</v>
      </c>
      <c r="D18" s="23">
        <f t="shared" si="13"/>
        <v>8.3000000000000007</v>
      </c>
      <c r="E18" s="82">
        <f t="shared" si="10"/>
        <v>40</v>
      </c>
      <c r="F18" s="82">
        <f t="shared" si="11"/>
        <v>34</v>
      </c>
      <c r="G18" s="85"/>
      <c r="H18" s="85"/>
      <c r="I18" s="528">
        <v>113</v>
      </c>
      <c r="J18" s="528">
        <v>12</v>
      </c>
      <c r="K18" s="23">
        <f t="shared" si="14"/>
        <v>125</v>
      </c>
      <c r="L18" s="528">
        <v>7</v>
      </c>
      <c r="M18" s="23">
        <f t="shared" si="15"/>
        <v>120</v>
      </c>
      <c r="N18" s="19" t="s">
        <v>40</v>
      </c>
      <c r="O18" s="528">
        <v>283</v>
      </c>
      <c r="P18" s="133">
        <f t="shared" si="8"/>
        <v>0.42402826855123676</v>
      </c>
      <c r="Q18" s="528">
        <v>45</v>
      </c>
      <c r="R18" s="528">
        <v>0</v>
      </c>
      <c r="S18" s="132">
        <v>1000648</v>
      </c>
      <c r="T18" s="24">
        <f t="shared" si="12"/>
        <v>1000648</v>
      </c>
      <c r="U18" s="132">
        <v>881172</v>
      </c>
      <c r="V18" s="132">
        <v>119476</v>
      </c>
      <c r="W18" s="135">
        <f t="shared" si="9"/>
        <v>0.11939862968796221</v>
      </c>
    </row>
    <row r="19" spans="1:23" customFormat="1">
      <c r="A19" s="15">
        <v>2006</v>
      </c>
      <c r="B19" s="528">
        <v>7</v>
      </c>
      <c r="C19" s="528">
        <v>0.5</v>
      </c>
      <c r="D19" s="23">
        <f t="shared" si="13"/>
        <v>7.5</v>
      </c>
      <c r="E19" s="82">
        <f t="shared" si="10"/>
        <v>34</v>
      </c>
      <c r="F19" s="82">
        <f t="shared" si="11"/>
        <v>32</v>
      </c>
      <c r="G19" s="85"/>
      <c r="H19" s="85"/>
      <c r="I19" s="528">
        <v>99</v>
      </c>
      <c r="J19" s="528">
        <v>15</v>
      </c>
      <c r="K19" s="23">
        <f t="shared" si="14"/>
        <v>114</v>
      </c>
      <c r="L19" s="528">
        <v>6</v>
      </c>
      <c r="M19" s="23">
        <f t="shared" si="15"/>
        <v>105</v>
      </c>
      <c r="N19" s="19" t="s">
        <v>40</v>
      </c>
      <c r="O19" s="528">
        <v>237</v>
      </c>
      <c r="P19" s="133">
        <f t="shared" si="8"/>
        <v>0.44303797468354428</v>
      </c>
      <c r="Q19" s="528">
        <v>44</v>
      </c>
      <c r="R19" s="528">
        <v>0</v>
      </c>
      <c r="S19" s="132">
        <v>952589</v>
      </c>
      <c r="T19" s="24">
        <f t="shared" si="12"/>
        <v>952589</v>
      </c>
      <c r="U19" s="132">
        <v>814273</v>
      </c>
      <c r="V19" s="132">
        <v>138316</v>
      </c>
      <c r="W19" s="135">
        <f t="shared" si="9"/>
        <v>0.14520008104229631</v>
      </c>
    </row>
    <row r="20" spans="1:23" customFormat="1">
      <c r="A20" s="15">
        <v>2005</v>
      </c>
      <c r="B20" s="528">
        <v>7</v>
      </c>
      <c r="C20" s="528">
        <v>0.5</v>
      </c>
      <c r="D20" s="23">
        <f t="shared" si="13"/>
        <v>7.5</v>
      </c>
      <c r="E20" s="82">
        <f t="shared" si="10"/>
        <v>37</v>
      </c>
      <c r="F20" s="82">
        <f t="shared" si="11"/>
        <v>34</v>
      </c>
      <c r="G20" s="85"/>
      <c r="H20" s="85"/>
      <c r="I20" s="528">
        <v>85</v>
      </c>
      <c r="J20" s="528">
        <v>16</v>
      </c>
      <c r="K20" s="23">
        <f t="shared" si="14"/>
        <v>101</v>
      </c>
      <c r="L20" s="528">
        <v>3</v>
      </c>
      <c r="M20" s="23">
        <f t="shared" si="15"/>
        <v>88</v>
      </c>
      <c r="N20" s="19" t="s">
        <v>40</v>
      </c>
      <c r="O20" s="528">
        <v>256</v>
      </c>
      <c r="P20" s="133">
        <f t="shared" si="8"/>
        <v>0.34375</v>
      </c>
      <c r="Q20" s="528">
        <v>41</v>
      </c>
      <c r="R20" s="528">
        <v>0</v>
      </c>
      <c r="S20" s="132">
        <v>867929</v>
      </c>
      <c r="T20" s="24">
        <f t="shared" si="12"/>
        <v>867929</v>
      </c>
      <c r="U20" s="132">
        <v>729209</v>
      </c>
      <c r="V20" s="132">
        <v>138720</v>
      </c>
      <c r="W20" s="135">
        <f t="shared" si="9"/>
        <v>0.1598287417519175</v>
      </c>
    </row>
    <row r="21" spans="1:23" customFormat="1">
      <c r="A21" s="15">
        <v>2004</v>
      </c>
      <c r="B21" s="528">
        <v>6</v>
      </c>
      <c r="C21" s="528">
        <v>1.5</v>
      </c>
      <c r="D21" s="23">
        <f t="shared" si="13"/>
        <v>7.5</v>
      </c>
      <c r="E21" s="82">
        <f t="shared" si="10"/>
        <v>43</v>
      </c>
      <c r="F21" s="82">
        <f t="shared" si="11"/>
        <v>34</v>
      </c>
      <c r="G21" s="85"/>
      <c r="H21" s="85"/>
      <c r="I21" s="528">
        <v>87</v>
      </c>
      <c r="J21" s="528">
        <v>14</v>
      </c>
      <c r="K21" s="23">
        <f t="shared" si="14"/>
        <v>101</v>
      </c>
      <c r="L21" s="528">
        <v>5</v>
      </c>
      <c r="M21" s="23">
        <f t="shared" si="15"/>
        <v>92</v>
      </c>
      <c r="N21" s="19" t="s">
        <v>40</v>
      </c>
      <c r="O21" s="528">
        <v>258</v>
      </c>
      <c r="P21" s="133">
        <f t="shared" si="8"/>
        <v>0.35658914728682173</v>
      </c>
      <c r="Q21" s="528">
        <v>37</v>
      </c>
      <c r="R21" s="528">
        <v>0</v>
      </c>
      <c r="S21" s="132">
        <v>828389</v>
      </c>
      <c r="T21" s="24">
        <f t="shared" si="12"/>
        <v>828389</v>
      </c>
      <c r="U21" s="132">
        <v>667072</v>
      </c>
      <c r="V21" s="132">
        <v>161317</v>
      </c>
      <c r="W21" s="135">
        <f t="shared" si="9"/>
        <v>0.19473580648704897</v>
      </c>
    </row>
    <row r="22" spans="1:23" customFormat="1">
      <c r="A22" s="15">
        <v>2003</v>
      </c>
      <c r="B22" s="528">
        <v>6</v>
      </c>
      <c r="C22" s="528">
        <v>1</v>
      </c>
      <c r="D22" s="23">
        <f t="shared" si="13"/>
        <v>7</v>
      </c>
      <c r="E22" s="82">
        <f t="shared" si="10"/>
        <v>30</v>
      </c>
      <c r="F22" s="82">
        <f t="shared" si="11"/>
        <v>26</v>
      </c>
      <c r="G22" s="85"/>
      <c r="H22" s="85"/>
      <c r="I22" s="528">
        <v>78</v>
      </c>
      <c r="J22" s="528">
        <v>16</v>
      </c>
      <c r="K22" s="23">
        <f t="shared" si="14"/>
        <v>94</v>
      </c>
      <c r="L22" s="528">
        <v>8</v>
      </c>
      <c r="M22" s="23">
        <f t="shared" si="15"/>
        <v>86</v>
      </c>
      <c r="N22" s="19" t="s">
        <v>40</v>
      </c>
      <c r="O22" s="528">
        <v>182</v>
      </c>
      <c r="P22" s="133">
        <f t="shared" si="8"/>
        <v>0.47252747252747251</v>
      </c>
      <c r="Q22" s="528">
        <v>38</v>
      </c>
      <c r="R22" s="528">
        <v>0</v>
      </c>
      <c r="S22" s="132">
        <v>763970</v>
      </c>
      <c r="T22" s="24">
        <f t="shared" si="12"/>
        <v>763970</v>
      </c>
      <c r="U22" s="132">
        <v>587357</v>
      </c>
      <c r="V22" s="132">
        <v>176613</v>
      </c>
      <c r="W22" s="135">
        <f t="shared" si="9"/>
        <v>0.23117792583478408</v>
      </c>
    </row>
    <row r="23" spans="1:23" customFormat="1" ht="15" customHeight="1">
      <c r="A23" s="15">
        <v>2002</v>
      </c>
      <c r="B23" s="528">
        <v>7</v>
      </c>
      <c r="C23" s="528">
        <f>ROUND(0.5, 0)</f>
        <v>1</v>
      </c>
      <c r="D23" s="23">
        <f t="shared" si="13"/>
        <v>8</v>
      </c>
      <c r="E23" s="82">
        <f t="shared" si="10"/>
        <v>28</v>
      </c>
      <c r="F23" s="82">
        <f t="shared" si="11"/>
        <v>24</v>
      </c>
      <c r="G23" s="85"/>
      <c r="H23" s="85"/>
      <c r="I23" s="528">
        <v>79</v>
      </c>
      <c r="J23" s="528">
        <v>18</v>
      </c>
      <c r="K23" s="23">
        <f t="shared" si="14"/>
        <v>97</v>
      </c>
      <c r="L23" s="528">
        <f>ROUND(4.5, 0)</f>
        <v>5</v>
      </c>
      <c r="M23" s="23">
        <f t="shared" si="15"/>
        <v>84</v>
      </c>
      <c r="N23" s="19" t="s">
        <v>40</v>
      </c>
      <c r="O23" s="528">
        <f>ROUND(193.5, 0)</f>
        <v>194</v>
      </c>
      <c r="P23" s="133">
        <f t="shared" si="8"/>
        <v>0.4329896907216495</v>
      </c>
      <c r="Q23" s="528">
        <v>30</v>
      </c>
      <c r="R23" s="528">
        <v>0</v>
      </c>
      <c r="S23" s="132">
        <v>673643</v>
      </c>
      <c r="T23" s="24">
        <f t="shared" si="12"/>
        <v>673643</v>
      </c>
      <c r="U23" s="132">
        <v>535838</v>
      </c>
      <c r="V23" s="132">
        <v>137805</v>
      </c>
      <c r="W23" s="135">
        <f t="shared" si="9"/>
        <v>0.2045668106103678</v>
      </c>
    </row>
    <row r="24" spans="1:23" s="12" customFormat="1">
      <c r="A24" s="577" t="s">
        <v>66</v>
      </c>
      <c r="B24" s="576"/>
      <c r="C24" s="576"/>
      <c r="D24" s="576"/>
      <c r="E24" s="576"/>
      <c r="F24" s="576"/>
      <c r="G24" s="576"/>
      <c r="H24" s="576"/>
      <c r="I24" s="576"/>
      <c r="J24" s="576"/>
      <c r="K24" s="576"/>
      <c r="L24" s="576"/>
      <c r="M24" s="576"/>
      <c r="N24" s="576"/>
      <c r="O24" s="576"/>
      <c r="P24" s="576"/>
      <c r="Q24" s="576"/>
      <c r="R24" s="576"/>
      <c r="S24" s="576"/>
      <c r="T24" s="576"/>
      <c r="U24" s="576"/>
      <c r="V24" s="576"/>
      <c r="W24" s="576"/>
    </row>
    <row r="25" spans="1:23" s="12" customFormat="1"/>
    <row r="26" spans="1:23" s="12" customFormat="1"/>
    <row r="27" spans="1:23" s="62" customFormat="1"/>
    <row r="28" spans="1:23" s="62" customFormat="1"/>
    <row r="29" spans="1:23" s="62" customFormat="1"/>
    <row r="30" spans="1:23" s="62" customFormat="1"/>
    <row r="31" spans="1:23" s="62" customFormat="1"/>
    <row r="32" spans="1:23" s="62" customFormat="1"/>
    <row r="33" s="62" customFormat="1"/>
    <row r="34" s="62" customFormat="1"/>
    <row r="35" s="62" customFormat="1"/>
  </sheetData>
  <mergeCells count="1">
    <mergeCell ref="A24:W24"/>
  </mergeCells>
  <printOptions headings="1" gridLines="1"/>
  <pageMargins left="0.5" right="0.5" top="0.5" bottom="0.5" header="0" footer="0"/>
  <pageSetup paperSize="5" scale="67" orientation="landscape"/>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L35"/>
  <sheetViews>
    <sheetView zoomScaleNormal="100" workbookViewId="0">
      <selection activeCell="G4" sqref="G4"/>
    </sheetView>
  </sheetViews>
  <sheetFormatPr defaultColWidth="8.85546875" defaultRowHeight="15"/>
  <cols>
    <col min="1" max="1" width="11.140625" customWidth="1"/>
    <col min="2" max="2" width="10.140625" bestFit="1" customWidth="1"/>
    <col min="3" max="3" width="8.42578125" bestFit="1" customWidth="1"/>
    <col min="4" max="4" width="9.42578125" bestFit="1" customWidth="1"/>
    <col min="5" max="5" width="12.42578125" bestFit="1" customWidth="1"/>
    <col min="6" max="6" width="11.42578125" bestFit="1" customWidth="1"/>
    <col min="7" max="8" width="12.140625" customWidth="1"/>
    <col min="9" max="9" width="8.85546875" bestFit="1" customWidth="1"/>
    <col min="10" max="11" width="11.85546875" bestFit="1" customWidth="1"/>
    <col min="12" max="12" width="12.42578125" bestFit="1" customWidth="1"/>
    <col min="13" max="13" width="13.140625" bestFit="1" customWidth="1"/>
    <col min="14" max="14" width="10.5703125" customWidth="1"/>
    <col min="15" max="15" width="13.42578125" bestFit="1" customWidth="1"/>
    <col min="16" max="16" width="14.42578125" customWidth="1"/>
    <col min="17" max="17" width="12.42578125" bestFit="1" customWidth="1"/>
    <col min="18" max="18" width="9" bestFit="1" customWidth="1"/>
    <col min="19" max="19" width="11.85546875" bestFit="1" customWidth="1"/>
    <col min="20" max="20" width="12.85546875" bestFit="1" customWidth="1"/>
    <col min="21" max="21" width="12.140625" customWidth="1"/>
    <col min="22" max="22" width="10.85546875" bestFit="1" customWidth="1"/>
    <col min="23" max="23" width="12.85546875" bestFit="1" customWidth="1"/>
  </cols>
  <sheetData>
    <row r="1" spans="1:220" s="1" customFormat="1" ht="18.75">
      <c r="A1" s="1" t="s">
        <v>67</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row>
    <row r="2" spans="1:220" s="3"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row>
    <row r="3" spans="1:220" s="64" customFormat="1">
      <c r="A3" s="105">
        <v>2022</v>
      </c>
      <c r="B3" s="66">
        <v>6</v>
      </c>
      <c r="C3" s="66">
        <v>18</v>
      </c>
      <c r="D3" s="65">
        <f t="shared" ref="D3" si="0">SUM(B3:C3)</f>
        <v>24</v>
      </c>
      <c r="E3" s="13">
        <f t="shared" ref="E3" si="1">ROUND((O3/B3), 0)</f>
        <v>32</v>
      </c>
      <c r="F3" s="13">
        <f t="shared" ref="F3" si="2">ROUND((O3/D3), 0)</f>
        <v>8</v>
      </c>
      <c r="G3" s="66">
        <v>6</v>
      </c>
      <c r="H3" s="66">
        <v>18</v>
      </c>
      <c r="I3" s="66">
        <v>63</v>
      </c>
      <c r="J3" s="66">
        <v>178</v>
      </c>
      <c r="K3" s="65">
        <f>SUM(I3:J3)</f>
        <v>241</v>
      </c>
      <c r="L3" s="66">
        <v>127.625</v>
      </c>
      <c r="M3" s="13">
        <f>(I3+L3)</f>
        <v>190.625</v>
      </c>
      <c r="N3" s="66">
        <v>79</v>
      </c>
      <c r="O3" s="66">
        <v>190.625</v>
      </c>
      <c r="P3" s="134">
        <f>M3/O3</f>
        <v>1</v>
      </c>
      <c r="Q3" s="66">
        <v>101</v>
      </c>
      <c r="R3" s="66">
        <v>0</v>
      </c>
      <c r="S3" s="20">
        <v>6876340</v>
      </c>
      <c r="T3" s="68">
        <f t="shared" ref="T3" si="3">SUM(U3:V3)</f>
        <v>5853115</v>
      </c>
      <c r="U3" s="20">
        <v>5772963</v>
      </c>
      <c r="V3" s="20">
        <v>80152</v>
      </c>
      <c r="W3" s="135">
        <f t="shared" ref="W3" si="4">V3/T3</f>
        <v>1.3693904869458399E-2</v>
      </c>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row>
    <row r="4" spans="1:220" s="64" customFormat="1">
      <c r="A4" s="105">
        <v>2021</v>
      </c>
      <c r="B4" s="66">
        <v>6</v>
      </c>
      <c r="C4" s="66">
        <v>12</v>
      </c>
      <c r="D4" s="65">
        <f t="shared" ref="D4" si="5">SUM(B4:C4)</f>
        <v>18</v>
      </c>
      <c r="E4" s="13">
        <f t="shared" ref="E4" si="6">ROUND((O4/B4), 0)</f>
        <v>32</v>
      </c>
      <c r="F4" s="13">
        <f t="shared" ref="F4" si="7">ROUND((O4/D4), 0)</f>
        <v>11</v>
      </c>
      <c r="G4" s="66">
        <v>6</v>
      </c>
      <c r="H4" s="66">
        <v>12</v>
      </c>
      <c r="I4" s="66">
        <v>74</v>
      </c>
      <c r="J4" s="66">
        <v>169</v>
      </c>
      <c r="K4" s="65">
        <f t="shared" ref="K4" si="8">SUM(I4:J4)</f>
        <v>243</v>
      </c>
      <c r="L4" s="66">
        <v>120.625</v>
      </c>
      <c r="M4" s="13">
        <f t="shared" ref="M4" si="9">(I4+L4)</f>
        <v>194.625</v>
      </c>
      <c r="N4" s="66">
        <v>76</v>
      </c>
      <c r="O4" s="66">
        <v>194.625</v>
      </c>
      <c r="P4" s="134">
        <f t="shared" ref="P4" si="10">M4/O4</f>
        <v>1</v>
      </c>
      <c r="Q4" s="66">
        <v>57</v>
      </c>
      <c r="R4" s="66">
        <v>0</v>
      </c>
      <c r="S4" s="20">
        <v>7232020</v>
      </c>
      <c r="T4" s="68">
        <f t="shared" ref="T4" si="11">SUM(U4:V4)</f>
        <v>5573999</v>
      </c>
      <c r="U4" s="20">
        <v>5452399</v>
      </c>
      <c r="V4" s="20">
        <v>121600</v>
      </c>
      <c r="W4" s="135">
        <f t="shared" ref="W4" si="12">V4/T4</f>
        <v>2.1815576213773988E-2</v>
      </c>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row>
    <row r="5" spans="1:220" s="64" customFormat="1">
      <c r="A5" s="105">
        <v>2020</v>
      </c>
      <c r="B5" s="66">
        <v>6</v>
      </c>
      <c r="C5" s="66">
        <v>10.67</v>
      </c>
      <c r="D5" s="65">
        <f>SUM(B5:C5)</f>
        <v>16.670000000000002</v>
      </c>
      <c r="E5" s="13">
        <f>ROUND((O5/B5), 0)</f>
        <v>27</v>
      </c>
      <c r="F5" s="13">
        <f>ROUND((O5/D5), 0)</f>
        <v>10</v>
      </c>
      <c r="G5" s="66">
        <v>6</v>
      </c>
      <c r="H5" s="66">
        <v>10.67</v>
      </c>
      <c r="I5" s="66">
        <v>71</v>
      </c>
      <c r="J5" s="66">
        <v>132</v>
      </c>
      <c r="K5" s="65">
        <f t="shared" ref="K5" si="13">SUM(I5:J5)</f>
        <v>203</v>
      </c>
      <c r="L5" s="66">
        <v>93.625</v>
      </c>
      <c r="M5" s="13">
        <f>(I5+L5)</f>
        <v>164.625</v>
      </c>
      <c r="N5" s="66">
        <v>70</v>
      </c>
      <c r="O5" s="66">
        <v>164.625</v>
      </c>
      <c r="P5" s="134">
        <f t="shared" ref="P5" si="14">M5/O5</f>
        <v>1</v>
      </c>
      <c r="Q5" s="66">
        <v>29</v>
      </c>
      <c r="R5" s="66">
        <v>0</v>
      </c>
      <c r="S5" s="20">
        <v>6140602.6191650638</v>
      </c>
      <c r="T5" s="68">
        <f>SUM(U5:V5)</f>
        <v>4126617.62</v>
      </c>
      <c r="U5" s="20">
        <v>4049426.62</v>
      </c>
      <c r="V5" s="20">
        <v>77191</v>
      </c>
      <c r="W5" s="135">
        <f t="shared" ref="W5" si="15">V5/T5</f>
        <v>1.8705634276819667E-2</v>
      </c>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row>
    <row r="6" spans="1:220" s="14" customFormat="1">
      <c r="A6" s="10">
        <v>2019</v>
      </c>
      <c r="B6" s="17">
        <v>5</v>
      </c>
      <c r="C6" s="17">
        <v>7.83</v>
      </c>
      <c r="D6" s="23">
        <f>SUM(B6:C6)</f>
        <v>12.83</v>
      </c>
      <c r="E6" s="82">
        <f>ROUND((O6/B6), 0)</f>
        <v>24</v>
      </c>
      <c r="F6" s="82">
        <f>ROUND((O6/D6), 0)</f>
        <v>9</v>
      </c>
      <c r="G6" s="17">
        <v>5</v>
      </c>
      <c r="H6" s="17">
        <v>7.83</v>
      </c>
      <c r="I6" s="17">
        <v>50</v>
      </c>
      <c r="J6" s="17">
        <v>96</v>
      </c>
      <c r="K6" s="23">
        <f t="shared" ref="K6" si="16">SUM(I6:J6)</f>
        <v>146</v>
      </c>
      <c r="L6" s="17">
        <v>67.625</v>
      </c>
      <c r="M6" s="82">
        <f>(I6+L6)</f>
        <v>117.625</v>
      </c>
      <c r="N6" s="17">
        <v>46</v>
      </c>
      <c r="O6" s="17">
        <v>117.625</v>
      </c>
      <c r="P6" s="133">
        <f t="shared" ref="P6" si="17">M6/O6</f>
        <v>1</v>
      </c>
      <c r="Q6" s="17">
        <v>32</v>
      </c>
      <c r="R6" s="17">
        <v>0</v>
      </c>
      <c r="S6" s="20">
        <v>3277208</v>
      </c>
      <c r="T6" s="24">
        <f>SUM(U6:V6)</f>
        <v>3295181</v>
      </c>
      <c r="U6" s="20">
        <v>3164969</v>
      </c>
      <c r="V6" s="20">
        <v>130212</v>
      </c>
      <c r="W6" s="135">
        <f t="shared" ref="W6" si="18">V6/T6</f>
        <v>3.9515886987695065E-2</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5</v>
      </c>
      <c r="C7" s="17">
        <v>3.5</v>
      </c>
      <c r="D7" s="23">
        <f>SUM(B7:C7)</f>
        <v>8.5</v>
      </c>
      <c r="E7" s="82">
        <f>ROUND((O7/B7), 0)</f>
        <v>15</v>
      </c>
      <c r="F7" s="82">
        <f>ROUND((O7/D7), 0)</f>
        <v>9</v>
      </c>
      <c r="G7" s="17">
        <v>5</v>
      </c>
      <c r="H7" s="17">
        <v>3.5</v>
      </c>
      <c r="I7" s="17">
        <v>63</v>
      </c>
      <c r="J7" s="17">
        <v>25</v>
      </c>
      <c r="K7" s="23">
        <f t="shared" ref="K7" si="19">SUM(I7:J7)</f>
        <v>88</v>
      </c>
      <c r="L7" s="17">
        <v>16.25</v>
      </c>
      <c r="M7" s="82">
        <f>(I7+L7)</f>
        <v>79.25</v>
      </c>
      <c r="N7" s="17">
        <v>20</v>
      </c>
      <c r="O7" s="17">
        <v>77.375</v>
      </c>
      <c r="P7" s="133">
        <f>M7/O7</f>
        <v>1.0242326332794831</v>
      </c>
      <c r="Q7" s="17">
        <v>29</v>
      </c>
      <c r="R7" s="17">
        <v>0</v>
      </c>
      <c r="S7" s="20">
        <v>2807697</v>
      </c>
      <c r="T7" s="24">
        <f>SUM(U7:V7)</f>
        <v>2817412</v>
      </c>
      <c r="U7" s="20">
        <v>2742786</v>
      </c>
      <c r="V7" s="20">
        <v>74626</v>
      </c>
      <c r="W7" s="135">
        <f>V7/T7</f>
        <v>2.6487428888639645E-2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14" customFormat="1">
      <c r="A8" s="10">
        <v>2017</v>
      </c>
      <c r="B8" s="17">
        <v>4</v>
      </c>
      <c r="C8" s="17">
        <v>2.9</v>
      </c>
      <c r="D8" s="23">
        <f>SUM(B8:C8)</f>
        <v>6.9</v>
      </c>
      <c r="E8" s="82">
        <f>ROUND((O8/B8), 0)</f>
        <v>22</v>
      </c>
      <c r="F8" s="82">
        <f>ROUND((O8/D8), 0)</f>
        <v>13</v>
      </c>
      <c r="G8" s="17">
        <v>4</v>
      </c>
      <c r="H8" s="17">
        <v>2.9</v>
      </c>
      <c r="I8" s="17">
        <v>86</v>
      </c>
      <c r="J8" s="17">
        <v>5</v>
      </c>
      <c r="K8" s="23">
        <f>SUM(I8:J8)</f>
        <v>91</v>
      </c>
      <c r="L8" s="17">
        <v>2.5</v>
      </c>
      <c r="M8" s="154">
        <f>(I8+L8)</f>
        <v>88.5</v>
      </c>
      <c r="N8" s="17">
        <v>15</v>
      </c>
      <c r="O8" s="17">
        <v>88.5</v>
      </c>
      <c r="P8" s="133">
        <f t="shared" ref="P8:P23" si="20">M8/O8</f>
        <v>1</v>
      </c>
      <c r="Q8" s="17">
        <v>44</v>
      </c>
      <c r="R8" s="17">
        <v>0</v>
      </c>
      <c r="S8" s="20">
        <v>2882244</v>
      </c>
      <c r="T8" s="24">
        <f>SUM(U8:V8)</f>
        <v>2836906</v>
      </c>
      <c r="U8" s="20">
        <v>2798295</v>
      </c>
      <c r="V8" s="20">
        <v>38611</v>
      </c>
      <c r="W8" s="135">
        <f t="shared" ref="W8:W23" si="21">V8/T8</f>
        <v>1.3610250040008376E-2</v>
      </c>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row>
    <row r="9" spans="1:220" s="14" customFormat="1">
      <c r="A9" s="10">
        <v>2016</v>
      </c>
      <c r="B9" s="54">
        <v>5</v>
      </c>
      <c r="C9" s="54">
        <v>4.0999999999999996</v>
      </c>
      <c r="D9" s="23">
        <f>SUM(B9:C9)</f>
        <v>9.1</v>
      </c>
      <c r="E9" s="82">
        <f>ROUND((O9/B9), 0)</f>
        <v>17</v>
      </c>
      <c r="F9" s="82">
        <f>ROUND((O9/D9), 0)</f>
        <v>9</v>
      </c>
      <c r="G9" s="54">
        <v>5</v>
      </c>
      <c r="H9" s="54">
        <v>4.0999999999999996</v>
      </c>
      <c r="I9" s="54">
        <v>84</v>
      </c>
      <c r="J9" s="54">
        <v>5</v>
      </c>
      <c r="K9" s="23">
        <f>SUM(I9:J9)</f>
        <v>89</v>
      </c>
      <c r="L9" s="54">
        <v>1.8</v>
      </c>
      <c r="M9" s="154">
        <f>(I9+L9)</f>
        <v>85.8</v>
      </c>
      <c r="N9" s="54">
        <v>20</v>
      </c>
      <c r="O9" s="54">
        <v>85.8</v>
      </c>
      <c r="P9" s="133">
        <f t="shared" si="20"/>
        <v>1</v>
      </c>
      <c r="Q9" s="54">
        <v>20</v>
      </c>
      <c r="R9" s="54">
        <v>0</v>
      </c>
      <c r="S9" s="55">
        <v>2911413</v>
      </c>
      <c r="T9" s="24">
        <f>SUM(U9:V9)</f>
        <v>2980612</v>
      </c>
      <c r="U9" s="55">
        <v>2712923</v>
      </c>
      <c r="V9" s="55">
        <v>267689</v>
      </c>
      <c r="W9" s="135">
        <f t="shared" si="21"/>
        <v>8.9810079272310522E-2</v>
      </c>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row>
    <row r="10" spans="1:220" s="80" customFormat="1">
      <c r="A10" s="10">
        <v>2015</v>
      </c>
      <c r="B10" s="54">
        <v>5</v>
      </c>
      <c r="C10" s="54">
        <v>3</v>
      </c>
      <c r="D10" s="19">
        <v>8</v>
      </c>
      <c r="E10" s="19">
        <v>16.8</v>
      </c>
      <c r="F10" s="19">
        <v>10.5</v>
      </c>
      <c r="G10" s="83"/>
      <c r="H10" s="83"/>
      <c r="I10" s="54">
        <v>71</v>
      </c>
      <c r="J10" s="54">
        <v>21</v>
      </c>
      <c r="K10" s="19">
        <v>92</v>
      </c>
      <c r="L10" s="54">
        <v>14</v>
      </c>
      <c r="M10" s="19">
        <v>92</v>
      </c>
      <c r="N10" s="54">
        <v>13</v>
      </c>
      <c r="O10" s="54">
        <v>92</v>
      </c>
      <c r="P10" s="133">
        <f t="shared" si="20"/>
        <v>1</v>
      </c>
      <c r="Q10" s="54">
        <v>42</v>
      </c>
      <c r="R10" s="54">
        <v>0</v>
      </c>
      <c r="S10" s="102">
        <f>2125885+256682</f>
        <v>2382567</v>
      </c>
      <c r="T10" s="114">
        <f>2428612</f>
        <v>2428612</v>
      </c>
      <c r="U10" s="102">
        <v>2335517</v>
      </c>
      <c r="V10" s="102">
        <f>T10-U10</f>
        <v>93095</v>
      </c>
      <c r="W10" s="135">
        <f t="shared" si="21"/>
        <v>3.8332594914296726E-2</v>
      </c>
    </row>
    <row r="11" spans="1:220">
      <c r="A11" s="15">
        <v>2014</v>
      </c>
      <c r="B11" s="528">
        <v>4</v>
      </c>
      <c r="C11" s="528">
        <v>4</v>
      </c>
      <c r="D11" s="23">
        <f t="shared" ref="D11:D23" si="22">SUM(B11:C11)</f>
        <v>8</v>
      </c>
      <c r="E11" s="82">
        <f t="shared" ref="E11:E23" si="23">ROUND((O11/B11), 0)</f>
        <v>19</v>
      </c>
      <c r="F11" s="82">
        <f t="shared" ref="F11:F23" si="24">ROUND((O11/D11), 0)</f>
        <v>9</v>
      </c>
      <c r="G11" s="83"/>
      <c r="H11" s="83"/>
      <c r="I11" s="528">
        <v>63</v>
      </c>
      <c r="J11" s="528">
        <v>17</v>
      </c>
      <c r="K11" s="23">
        <f t="shared" ref="K11:K23" si="25">SUM(I11:J11)</f>
        <v>80</v>
      </c>
      <c r="L11" s="528">
        <v>11.75</v>
      </c>
      <c r="M11" s="82">
        <f t="shared" ref="M11:M23" si="26">(I11+L11)</f>
        <v>74.75</v>
      </c>
      <c r="N11" s="528">
        <v>11</v>
      </c>
      <c r="O11" s="528">
        <v>75</v>
      </c>
      <c r="P11" s="133">
        <f t="shared" si="20"/>
        <v>0.9966666666666667</v>
      </c>
      <c r="Q11" s="528">
        <v>50</v>
      </c>
      <c r="R11" s="528">
        <v>0</v>
      </c>
      <c r="S11" s="84">
        <v>2774816</v>
      </c>
      <c r="T11" s="24">
        <f t="shared" ref="T11:T23" si="27">SUM(U11:V11)</f>
        <v>2879777</v>
      </c>
      <c r="U11" s="84">
        <v>2863111</v>
      </c>
      <c r="V11" s="84">
        <v>16666</v>
      </c>
      <c r="W11" s="135">
        <f t="shared" si="21"/>
        <v>5.7872536658220407E-3</v>
      </c>
    </row>
    <row r="12" spans="1:220">
      <c r="A12" s="15">
        <v>2013</v>
      </c>
      <c r="B12" s="528">
        <v>5</v>
      </c>
      <c r="C12" s="528">
        <v>6</v>
      </c>
      <c r="D12" s="23">
        <f t="shared" si="22"/>
        <v>11</v>
      </c>
      <c r="E12" s="82">
        <f t="shared" si="23"/>
        <v>18</v>
      </c>
      <c r="F12" s="82">
        <f t="shared" si="24"/>
        <v>8</v>
      </c>
      <c r="G12" s="85"/>
      <c r="H12" s="85"/>
      <c r="I12" s="528">
        <v>47</v>
      </c>
      <c r="J12" s="528">
        <v>60</v>
      </c>
      <c r="K12" s="23">
        <f t="shared" si="25"/>
        <v>107</v>
      </c>
      <c r="L12" s="528">
        <v>45</v>
      </c>
      <c r="M12" s="82">
        <f t="shared" si="26"/>
        <v>92</v>
      </c>
      <c r="N12" s="528">
        <v>18</v>
      </c>
      <c r="O12" s="528">
        <v>92</v>
      </c>
      <c r="P12" s="133">
        <f t="shared" si="20"/>
        <v>1</v>
      </c>
      <c r="Q12" s="528">
        <v>57</v>
      </c>
      <c r="R12" s="528">
        <v>0</v>
      </c>
      <c r="S12" s="84">
        <v>2968581</v>
      </c>
      <c r="T12" s="24">
        <f t="shared" si="27"/>
        <v>3106660</v>
      </c>
      <c r="U12" s="84">
        <v>3065143</v>
      </c>
      <c r="V12" s="84">
        <v>41517</v>
      </c>
      <c r="W12" s="135">
        <f t="shared" si="21"/>
        <v>1.3363869879549097E-2</v>
      </c>
    </row>
    <row r="13" spans="1:220">
      <c r="A13" s="15">
        <v>2012</v>
      </c>
      <c r="B13" s="528">
        <v>5</v>
      </c>
      <c r="C13" s="528">
        <v>6</v>
      </c>
      <c r="D13" s="23">
        <f t="shared" si="22"/>
        <v>11</v>
      </c>
      <c r="E13" s="82">
        <f t="shared" si="23"/>
        <v>18</v>
      </c>
      <c r="F13" s="82">
        <f t="shared" si="24"/>
        <v>8</v>
      </c>
      <c r="G13" s="85"/>
      <c r="H13" s="85"/>
      <c r="I13" s="528">
        <v>47</v>
      </c>
      <c r="J13" s="528">
        <v>60</v>
      </c>
      <c r="K13" s="23">
        <f t="shared" si="25"/>
        <v>107</v>
      </c>
      <c r="L13" s="528">
        <v>45</v>
      </c>
      <c r="M13" s="82">
        <f t="shared" si="26"/>
        <v>92</v>
      </c>
      <c r="N13" s="528">
        <v>15</v>
      </c>
      <c r="O13" s="528">
        <v>92</v>
      </c>
      <c r="P13" s="133">
        <f t="shared" si="20"/>
        <v>1</v>
      </c>
      <c r="Q13" s="528">
        <v>57</v>
      </c>
      <c r="R13" s="528">
        <v>0</v>
      </c>
      <c r="S13" s="84">
        <v>3197302</v>
      </c>
      <c r="T13" s="24">
        <f t="shared" si="27"/>
        <v>4087715</v>
      </c>
      <c r="U13" s="84">
        <v>3636857</v>
      </c>
      <c r="V13" s="84">
        <v>450858</v>
      </c>
      <c r="W13" s="135">
        <f t="shared" si="21"/>
        <v>0.11029584988190223</v>
      </c>
    </row>
    <row r="14" spans="1:220">
      <c r="A14" s="15" t="s">
        <v>26</v>
      </c>
      <c r="B14" s="528">
        <v>5.5</v>
      </c>
      <c r="C14" s="528">
        <v>6.1</v>
      </c>
      <c r="D14" s="23">
        <f t="shared" si="22"/>
        <v>11.6</v>
      </c>
      <c r="E14" s="82">
        <f t="shared" si="23"/>
        <v>20</v>
      </c>
      <c r="F14" s="82">
        <f t="shared" si="24"/>
        <v>9</v>
      </c>
      <c r="G14" s="85"/>
      <c r="H14" s="85"/>
      <c r="I14" s="528">
        <v>62</v>
      </c>
      <c r="J14" s="528">
        <v>63</v>
      </c>
      <c r="K14" s="23">
        <f t="shared" si="25"/>
        <v>125</v>
      </c>
      <c r="L14" s="528">
        <v>46</v>
      </c>
      <c r="M14" s="82">
        <f t="shared" si="26"/>
        <v>108</v>
      </c>
      <c r="N14" s="528">
        <v>20</v>
      </c>
      <c r="O14" s="528">
        <v>108</v>
      </c>
      <c r="P14" s="133">
        <f t="shared" si="20"/>
        <v>1</v>
      </c>
      <c r="Q14" s="528">
        <v>69</v>
      </c>
      <c r="R14" s="528">
        <v>0</v>
      </c>
      <c r="S14" s="84">
        <v>3754708</v>
      </c>
      <c r="T14" s="24">
        <f t="shared" si="27"/>
        <v>3882890</v>
      </c>
      <c r="U14" s="84">
        <v>3828270</v>
      </c>
      <c r="V14" s="84">
        <v>54620</v>
      </c>
      <c r="W14" s="135">
        <f t="shared" si="21"/>
        <v>1.4066841965649297E-2</v>
      </c>
    </row>
    <row r="15" spans="1:220">
      <c r="A15" s="15" t="s">
        <v>27</v>
      </c>
      <c r="B15" s="528">
        <v>6</v>
      </c>
      <c r="C15" s="528">
        <v>5</v>
      </c>
      <c r="D15" s="23">
        <f t="shared" si="22"/>
        <v>11</v>
      </c>
      <c r="E15" s="82">
        <f t="shared" si="23"/>
        <v>23</v>
      </c>
      <c r="F15" s="82">
        <f t="shared" si="24"/>
        <v>13</v>
      </c>
      <c r="G15" s="85"/>
      <c r="H15" s="85"/>
      <c r="I15" s="528">
        <v>91</v>
      </c>
      <c r="J15" s="528">
        <v>68</v>
      </c>
      <c r="K15" s="23">
        <f t="shared" si="25"/>
        <v>159</v>
      </c>
      <c r="L15" s="528">
        <v>48.5</v>
      </c>
      <c r="M15" s="82">
        <f t="shared" si="26"/>
        <v>139.5</v>
      </c>
      <c r="N15" s="528">
        <v>27</v>
      </c>
      <c r="O15" s="528">
        <v>139.5</v>
      </c>
      <c r="P15" s="133">
        <f t="shared" si="20"/>
        <v>1</v>
      </c>
      <c r="Q15" s="528">
        <v>62</v>
      </c>
      <c r="R15" s="528">
        <v>0</v>
      </c>
      <c r="S15" s="84">
        <v>2800406</v>
      </c>
      <c r="T15" s="24">
        <f t="shared" si="27"/>
        <v>3748484</v>
      </c>
      <c r="U15" s="84">
        <v>3711272</v>
      </c>
      <c r="V15" s="84">
        <v>37212</v>
      </c>
      <c r="W15" s="135">
        <f t="shared" si="21"/>
        <v>9.9272132414063921E-3</v>
      </c>
    </row>
    <row r="16" spans="1:220">
      <c r="A16" s="15" t="s">
        <v>28</v>
      </c>
      <c r="B16" s="528">
        <v>6</v>
      </c>
      <c r="C16" s="528">
        <v>6</v>
      </c>
      <c r="D16" s="23">
        <f t="shared" si="22"/>
        <v>12</v>
      </c>
      <c r="E16" s="82">
        <f t="shared" si="23"/>
        <v>23</v>
      </c>
      <c r="F16" s="82">
        <f t="shared" si="24"/>
        <v>12</v>
      </c>
      <c r="G16" s="85"/>
      <c r="H16" s="85"/>
      <c r="I16" s="528">
        <v>77</v>
      </c>
      <c r="J16" s="528">
        <v>90</v>
      </c>
      <c r="K16" s="23">
        <f t="shared" si="25"/>
        <v>167</v>
      </c>
      <c r="L16" s="528">
        <v>61.38</v>
      </c>
      <c r="M16" s="82">
        <f t="shared" si="26"/>
        <v>138.38</v>
      </c>
      <c r="N16" s="528">
        <v>33</v>
      </c>
      <c r="O16" s="528">
        <v>138.38</v>
      </c>
      <c r="P16" s="133">
        <f t="shared" si="20"/>
        <v>1</v>
      </c>
      <c r="Q16" s="528">
        <v>45</v>
      </c>
      <c r="R16" s="528">
        <v>0</v>
      </c>
      <c r="S16" s="84">
        <v>2661037</v>
      </c>
      <c r="T16" s="24">
        <f t="shared" si="27"/>
        <v>2798922</v>
      </c>
      <c r="U16" s="84">
        <v>2774515</v>
      </c>
      <c r="V16" s="84">
        <v>24407</v>
      </c>
      <c r="W16" s="135">
        <f t="shared" si="21"/>
        <v>8.7201429693289055E-3</v>
      </c>
    </row>
    <row r="17" spans="1:23">
      <c r="A17" s="15" t="s">
        <v>29</v>
      </c>
      <c r="B17" s="528">
        <v>6</v>
      </c>
      <c r="C17" s="528">
        <v>1.2</v>
      </c>
      <c r="D17" s="23">
        <f t="shared" si="22"/>
        <v>7.2</v>
      </c>
      <c r="E17" s="82">
        <f t="shared" si="23"/>
        <v>18</v>
      </c>
      <c r="F17" s="82">
        <f t="shared" si="24"/>
        <v>15</v>
      </c>
      <c r="G17" s="85"/>
      <c r="H17" s="85"/>
      <c r="I17" s="528">
        <v>50</v>
      </c>
      <c r="J17" s="528">
        <v>86</v>
      </c>
      <c r="K17" s="23">
        <f t="shared" si="25"/>
        <v>136</v>
      </c>
      <c r="L17" s="528">
        <v>58.85</v>
      </c>
      <c r="M17" s="82">
        <f t="shared" si="26"/>
        <v>108.85</v>
      </c>
      <c r="N17" s="528">
        <v>25</v>
      </c>
      <c r="O17" s="528">
        <v>109</v>
      </c>
      <c r="P17" s="133">
        <f t="shared" si="20"/>
        <v>0.9986238532110091</v>
      </c>
      <c r="Q17" s="528">
        <v>64</v>
      </c>
      <c r="R17" s="528">
        <v>0</v>
      </c>
      <c r="S17" s="84">
        <v>2749353</v>
      </c>
      <c r="T17" s="24">
        <f t="shared" si="27"/>
        <v>2915185</v>
      </c>
      <c r="U17" s="84">
        <v>2885966</v>
      </c>
      <c r="V17" s="84">
        <v>29219</v>
      </c>
      <c r="W17" s="135">
        <f t="shared" si="21"/>
        <v>1.0023034558698676E-2</v>
      </c>
    </row>
    <row r="18" spans="1:23">
      <c r="A18" s="15">
        <v>2007</v>
      </c>
      <c r="B18" s="528">
        <v>6</v>
      </c>
      <c r="C18" s="528">
        <v>8</v>
      </c>
      <c r="D18" s="23">
        <f t="shared" si="22"/>
        <v>14</v>
      </c>
      <c r="E18" s="82">
        <f t="shared" si="23"/>
        <v>20</v>
      </c>
      <c r="F18" s="82">
        <f t="shared" si="24"/>
        <v>9</v>
      </c>
      <c r="G18" s="85"/>
      <c r="H18" s="85"/>
      <c r="I18" s="528">
        <v>60</v>
      </c>
      <c r="J18" s="528">
        <v>91</v>
      </c>
      <c r="K18" s="23">
        <f t="shared" si="25"/>
        <v>151</v>
      </c>
      <c r="L18" s="528">
        <v>60.25</v>
      </c>
      <c r="M18" s="82">
        <f t="shared" si="26"/>
        <v>120.25</v>
      </c>
      <c r="N18" s="528">
        <v>21</v>
      </c>
      <c r="O18" s="528">
        <v>120</v>
      </c>
      <c r="P18" s="133">
        <f t="shared" si="20"/>
        <v>1.0020833333333334</v>
      </c>
      <c r="Q18" s="528">
        <v>63</v>
      </c>
      <c r="R18" s="528">
        <v>0</v>
      </c>
      <c r="S18" s="132">
        <v>2768127</v>
      </c>
      <c r="T18" s="24">
        <f t="shared" si="27"/>
        <v>3063006</v>
      </c>
      <c r="U18" s="132">
        <v>3027004</v>
      </c>
      <c r="V18" s="155">
        <v>36002</v>
      </c>
      <c r="W18" s="135">
        <f t="shared" si="21"/>
        <v>1.1753813084270811E-2</v>
      </c>
    </row>
    <row r="19" spans="1:23">
      <c r="A19" s="15">
        <v>2006</v>
      </c>
      <c r="B19" s="528">
        <v>6</v>
      </c>
      <c r="C19" s="528">
        <v>3.5</v>
      </c>
      <c r="D19" s="23">
        <f t="shared" si="22"/>
        <v>9.5</v>
      </c>
      <c r="E19" s="82">
        <f t="shared" si="23"/>
        <v>21</v>
      </c>
      <c r="F19" s="82">
        <f t="shared" si="24"/>
        <v>13</v>
      </c>
      <c r="G19" s="85"/>
      <c r="H19" s="85"/>
      <c r="I19" s="528">
        <v>57</v>
      </c>
      <c r="J19" s="528">
        <v>108</v>
      </c>
      <c r="K19" s="23">
        <f t="shared" si="25"/>
        <v>165</v>
      </c>
      <c r="L19" s="528">
        <v>71</v>
      </c>
      <c r="M19" s="82">
        <f t="shared" si="26"/>
        <v>128</v>
      </c>
      <c r="N19" s="528">
        <v>17</v>
      </c>
      <c r="O19" s="528">
        <v>128</v>
      </c>
      <c r="P19" s="133">
        <f t="shared" si="20"/>
        <v>1</v>
      </c>
      <c r="Q19" s="528">
        <v>50</v>
      </c>
      <c r="R19" s="528">
        <v>0</v>
      </c>
      <c r="S19" s="132">
        <v>2343100</v>
      </c>
      <c r="T19" s="24">
        <f t="shared" si="27"/>
        <v>2644975</v>
      </c>
      <c r="U19" s="132">
        <v>2644975</v>
      </c>
      <c r="V19" s="155">
        <v>0</v>
      </c>
      <c r="W19" s="135">
        <f t="shared" si="21"/>
        <v>0</v>
      </c>
    </row>
    <row r="20" spans="1:23">
      <c r="A20" s="15">
        <v>2005</v>
      </c>
      <c r="B20" s="528">
        <v>5</v>
      </c>
      <c r="C20" s="528">
        <v>2</v>
      </c>
      <c r="D20" s="23">
        <f t="shared" si="22"/>
        <v>7</v>
      </c>
      <c r="E20" s="82">
        <f t="shared" si="23"/>
        <v>24</v>
      </c>
      <c r="F20" s="82">
        <f t="shared" si="24"/>
        <v>17</v>
      </c>
      <c r="G20" s="85"/>
      <c r="H20" s="85"/>
      <c r="I20" s="528">
        <v>50</v>
      </c>
      <c r="J20" s="528">
        <v>107</v>
      </c>
      <c r="K20" s="23">
        <f t="shared" si="25"/>
        <v>157</v>
      </c>
      <c r="L20" s="528">
        <v>69</v>
      </c>
      <c r="M20" s="82">
        <f t="shared" si="26"/>
        <v>119</v>
      </c>
      <c r="N20" s="528">
        <v>15</v>
      </c>
      <c r="O20" s="528">
        <v>120</v>
      </c>
      <c r="P20" s="133">
        <f t="shared" si="20"/>
        <v>0.9916666666666667</v>
      </c>
      <c r="Q20" s="528">
        <v>27</v>
      </c>
      <c r="R20" s="528">
        <v>6</v>
      </c>
      <c r="S20" s="132">
        <v>819838</v>
      </c>
      <c r="T20" s="24">
        <f t="shared" si="27"/>
        <v>1073082</v>
      </c>
      <c r="U20" s="157">
        <v>1053725</v>
      </c>
      <c r="V20" s="156">
        <v>19357</v>
      </c>
      <c r="W20" s="135">
        <f t="shared" si="21"/>
        <v>1.8038696017638915E-2</v>
      </c>
    </row>
    <row r="21" spans="1:23">
      <c r="A21" s="15">
        <v>2004</v>
      </c>
      <c r="B21" s="528">
        <v>4</v>
      </c>
      <c r="C21" s="528">
        <v>0</v>
      </c>
      <c r="D21" s="23">
        <f t="shared" si="22"/>
        <v>4</v>
      </c>
      <c r="E21" s="82">
        <f t="shared" si="23"/>
        <v>21</v>
      </c>
      <c r="F21" s="82">
        <f t="shared" si="24"/>
        <v>21</v>
      </c>
      <c r="G21" s="85"/>
      <c r="H21" s="85"/>
      <c r="I21" s="528">
        <v>33</v>
      </c>
      <c r="J21" s="528">
        <v>77</v>
      </c>
      <c r="K21" s="23">
        <f t="shared" si="25"/>
        <v>110</v>
      </c>
      <c r="L21" s="528">
        <v>49</v>
      </c>
      <c r="M21" s="82">
        <f t="shared" si="26"/>
        <v>82</v>
      </c>
      <c r="N21" s="528">
        <v>3</v>
      </c>
      <c r="O21" s="528">
        <v>82</v>
      </c>
      <c r="P21" s="133">
        <f t="shared" si="20"/>
        <v>1</v>
      </c>
      <c r="Q21" s="528">
        <v>19</v>
      </c>
      <c r="R21" s="528">
        <v>0</v>
      </c>
      <c r="S21" s="132">
        <v>373524</v>
      </c>
      <c r="T21" s="24">
        <f t="shared" si="27"/>
        <v>686651</v>
      </c>
      <c r="U21" s="132">
        <v>653132</v>
      </c>
      <c r="V21" s="132">
        <v>33519</v>
      </c>
      <c r="W21" s="135">
        <f t="shared" si="21"/>
        <v>4.88151914145614E-2</v>
      </c>
    </row>
    <row r="22" spans="1:23">
      <c r="A22" s="15">
        <v>2003</v>
      </c>
      <c r="B22" s="528">
        <v>4</v>
      </c>
      <c r="C22" s="528">
        <v>1</v>
      </c>
      <c r="D22" s="23">
        <f t="shared" si="22"/>
        <v>5</v>
      </c>
      <c r="E22" s="82">
        <f t="shared" si="23"/>
        <v>14</v>
      </c>
      <c r="F22" s="82">
        <f t="shared" si="24"/>
        <v>11</v>
      </c>
      <c r="G22" s="85"/>
      <c r="H22" s="85"/>
      <c r="I22" s="528">
        <v>21</v>
      </c>
      <c r="J22" s="528">
        <v>49</v>
      </c>
      <c r="K22" s="23">
        <f t="shared" si="25"/>
        <v>70</v>
      </c>
      <c r="L22" s="528">
        <v>31</v>
      </c>
      <c r="M22" s="82">
        <f t="shared" si="26"/>
        <v>52</v>
      </c>
      <c r="N22" s="528">
        <v>6</v>
      </c>
      <c r="O22" s="528">
        <v>57</v>
      </c>
      <c r="P22" s="133">
        <f t="shared" si="20"/>
        <v>0.91228070175438591</v>
      </c>
      <c r="Q22" s="528">
        <v>0</v>
      </c>
      <c r="R22" s="528">
        <v>28</v>
      </c>
      <c r="S22" s="132">
        <v>368090</v>
      </c>
      <c r="T22" s="24">
        <f t="shared" si="27"/>
        <v>475235</v>
      </c>
      <c r="U22" s="132">
        <v>385795</v>
      </c>
      <c r="V22" s="132">
        <v>89440</v>
      </c>
      <c r="W22" s="135">
        <f t="shared" si="21"/>
        <v>0.18820162656370007</v>
      </c>
    </row>
    <row r="23" spans="1:23">
      <c r="A23" s="15">
        <v>2002</v>
      </c>
      <c r="B23" s="528">
        <v>3</v>
      </c>
      <c r="C23" s="528">
        <v>1</v>
      </c>
      <c r="D23" s="23">
        <f t="shared" si="22"/>
        <v>4</v>
      </c>
      <c r="E23" s="82">
        <f t="shared" si="23"/>
        <v>8</v>
      </c>
      <c r="F23" s="82">
        <f t="shared" si="24"/>
        <v>6</v>
      </c>
      <c r="G23" s="85"/>
      <c r="H23" s="85"/>
      <c r="I23" s="528">
        <v>4</v>
      </c>
      <c r="J23" s="528">
        <v>42</v>
      </c>
      <c r="K23" s="23">
        <f t="shared" si="25"/>
        <v>46</v>
      </c>
      <c r="L23" s="528">
        <f>ROUND(20.66, 0)</f>
        <v>21</v>
      </c>
      <c r="M23" s="82">
        <f t="shared" si="26"/>
        <v>25</v>
      </c>
      <c r="N23" s="528">
        <v>4</v>
      </c>
      <c r="O23" s="528">
        <f>ROUND(24.66, 0)</f>
        <v>25</v>
      </c>
      <c r="P23" s="133">
        <f t="shared" si="20"/>
        <v>1</v>
      </c>
      <c r="Q23" s="528">
        <v>0</v>
      </c>
      <c r="R23" s="528">
        <v>15</v>
      </c>
      <c r="S23" s="132">
        <v>402352</v>
      </c>
      <c r="T23" s="24">
        <f t="shared" si="27"/>
        <v>456794</v>
      </c>
      <c r="U23" s="132">
        <v>305940</v>
      </c>
      <c r="V23" s="132">
        <v>150854</v>
      </c>
      <c r="W23" s="135">
        <f t="shared" si="21"/>
        <v>0.33024514332499988</v>
      </c>
    </row>
    <row r="24" spans="1:23">
      <c r="A24" s="537" t="s">
        <v>68</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3" s="12" customFormat="1">
      <c r="G25"/>
      <c r="H25"/>
    </row>
    <row r="26" spans="1:23" s="12" customFormat="1">
      <c r="G26"/>
      <c r="H26"/>
    </row>
    <row r="27" spans="1:23" s="12" customFormat="1">
      <c r="G27"/>
      <c r="H27"/>
    </row>
    <row r="28" spans="1:23" s="12" customFormat="1">
      <c r="G28"/>
      <c r="H28"/>
    </row>
    <row r="29" spans="1:23" s="12" customFormat="1">
      <c r="G29"/>
      <c r="H29"/>
    </row>
    <row r="30" spans="1:23" s="12" customFormat="1">
      <c r="G30"/>
      <c r="H30"/>
    </row>
    <row r="31" spans="1:23" s="12" customFormat="1">
      <c r="G31"/>
      <c r="H31"/>
    </row>
    <row r="32" spans="1:23" s="12" customFormat="1">
      <c r="G32"/>
      <c r="H32"/>
    </row>
    <row r="33" spans="7:8" s="12" customFormat="1">
      <c r="G33"/>
      <c r="H33"/>
    </row>
    <row r="34" spans="7:8" s="12" customFormat="1">
      <c r="G34"/>
      <c r="H34"/>
    </row>
    <row r="35" spans="7:8" s="12" customFormat="1">
      <c r="G35"/>
      <c r="H35"/>
    </row>
  </sheetData>
  <mergeCells count="1">
    <mergeCell ref="A24:W24"/>
  </mergeCells>
  <printOptions headings="1" gridLines="1"/>
  <pageMargins left="0.5" right="0.5" top="0.5" bottom="0.5" header="0" footer="0"/>
  <pageSetup paperSize="5" scale="61" orientation="landscape" r:id="rId1"/>
  <legacy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L35"/>
  <sheetViews>
    <sheetView workbookViewId="0">
      <selection activeCell="G5" sqref="G5"/>
    </sheetView>
  </sheetViews>
  <sheetFormatPr defaultColWidth="8.85546875" defaultRowHeight="15"/>
  <cols>
    <col min="1" max="1" width="13" style="63" customWidth="1"/>
    <col min="2" max="2" width="10.140625" style="63" bestFit="1" customWidth="1"/>
    <col min="3" max="3" width="8.42578125" style="63" bestFit="1" customWidth="1"/>
    <col min="4" max="4" width="9.42578125" style="63" bestFit="1" customWidth="1"/>
    <col min="5" max="5" width="12.42578125" style="63" bestFit="1" customWidth="1"/>
    <col min="6" max="6" width="11.42578125" style="63" bestFit="1" customWidth="1"/>
    <col min="7" max="8" width="12.140625" style="63" customWidth="1"/>
    <col min="9" max="9" width="8.85546875" style="63" bestFit="1" customWidth="1"/>
    <col min="10" max="11" width="11.85546875" style="63" bestFit="1" customWidth="1"/>
    <col min="12" max="12" width="12.42578125" style="63" bestFit="1" customWidth="1"/>
    <col min="13" max="13" width="13.140625" style="63" bestFit="1" customWidth="1"/>
    <col min="14" max="14" width="11.42578125" style="63" customWidth="1"/>
    <col min="15" max="15" width="13.42578125" style="63" bestFit="1" customWidth="1"/>
    <col min="16" max="16" width="13.42578125" style="63" customWidth="1"/>
    <col min="17" max="17" width="12.42578125" style="63" bestFit="1" customWidth="1"/>
    <col min="18" max="18" width="9" style="63" bestFit="1" customWidth="1"/>
    <col min="19" max="19" width="11.85546875" style="63" bestFit="1" customWidth="1"/>
    <col min="20" max="20" width="12.85546875" style="63" bestFit="1" customWidth="1"/>
    <col min="21" max="21" width="10.42578125" style="63" bestFit="1" customWidth="1"/>
    <col min="22" max="22" width="10.85546875" style="63" bestFit="1" customWidth="1"/>
    <col min="23" max="23" width="12.85546875" style="63" bestFit="1" customWidth="1"/>
    <col min="24" max="16384" width="8.85546875" style="63"/>
  </cols>
  <sheetData>
    <row r="1" spans="1:220" s="7" customFormat="1" ht="18.75">
      <c r="A1" s="1" t="s">
        <v>69</v>
      </c>
      <c r="B1" s="2"/>
      <c r="C1" s="1"/>
      <c r="D1" s="1"/>
      <c r="E1" s="1"/>
      <c r="F1" s="1"/>
      <c r="G1" s="1"/>
      <c r="H1" s="1"/>
      <c r="I1" s="1"/>
      <c r="J1" s="1"/>
      <c r="K1" s="1"/>
      <c r="L1" s="1"/>
      <c r="M1" s="1"/>
      <c r="N1" s="1"/>
      <c r="O1" s="1"/>
      <c r="P1" s="1"/>
      <c r="Q1" s="1"/>
      <c r="R1" s="1"/>
      <c r="S1" s="1"/>
      <c r="T1" s="1"/>
      <c r="U1" s="1"/>
      <c r="V1" s="1"/>
      <c r="W1" s="1"/>
    </row>
    <row r="2" spans="1:220" s="6" customFormat="1" ht="58.5" customHeight="1">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14" customFormat="1">
      <c r="A3" s="10">
        <v>2022</v>
      </c>
      <c r="B3" s="17">
        <v>11</v>
      </c>
      <c r="C3" s="17">
        <v>5</v>
      </c>
      <c r="D3" s="23">
        <f t="shared" ref="D3" si="0">SUM(B3:C3)</f>
        <v>16</v>
      </c>
      <c r="E3" s="82">
        <f>ROUND((O3/B3), 0)</f>
        <v>20</v>
      </c>
      <c r="F3" s="82">
        <f>ROUND((O3/D3), 0)</f>
        <v>14</v>
      </c>
      <c r="G3" s="17">
        <v>11</v>
      </c>
      <c r="H3" s="17">
        <v>5</v>
      </c>
      <c r="I3" s="17">
        <v>67</v>
      </c>
      <c r="J3" s="17">
        <v>281</v>
      </c>
      <c r="K3" s="23">
        <f t="shared" ref="K3" si="1">SUM(I3:J3)</f>
        <v>348</v>
      </c>
      <c r="L3" s="298">
        <f t="shared" ref="L3" si="2">J3*0.33</f>
        <v>92.73</v>
      </c>
      <c r="M3" s="82">
        <f>(I3+L3)</f>
        <v>159.73000000000002</v>
      </c>
      <c r="N3" s="17">
        <v>85</v>
      </c>
      <c r="O3" s="255">
        <v>223</v>
      </c>
      <c r="P3" s="299">
        <f t="shared" ref="P3" si="3">M3/O3</f>
        <v>0.71627802690582965</v>
      </c>
      <c r="Q3" s="17">
        <v>108</v>
      </c>
      <c r="R3" s="17">
        <v>13</v>
      </c>
      <c r="S3" s="473">
        <v>1930945</v>
      </c>
      <c r="T3" s="24">
        <f t="shared" ref="T3" si="4">SUM(U3:V3)</f>
        <v>4447036</v>
      </c>
      <c r="U3" s="473">
        <v>4444336</v>
      </c>
      <c r="V3" s="473">
        <v>2700</v>
      </c>
      <c r="W3" s="135">
        <f t="shared" ref="W3" si="5">V3/T3</f>
        <v>6.0714597318303699E-4</v>
      </c>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row>
    <row r="4" spans="1:220" s="14" customFormat="1" ht="14.45" customHeight="1">
      <c r="A4" s="10">
        <v>2021</v>
      </c>
      <c r="B4" s="17">
        <v>11</v>
      </c>
      <c r="C4" s="17">
        <v>5</v>
      </c>
      <c r="D4" s="23">
        <f t="shared" ref="D4" si="6">SUM(B4:C4)</f>
        <v>16</v>
      </c>
      <c r="E4" s="82">
        <f>ROUND((O4/B4), 0)</f>
        <v>15</v>
      </c>
      <c r="F4" s="82">
        <f>ROUND((O4/D4), 0)</f>
        <v>10</v>
      </c>
      <c r="G4" s="17">
        <v>11</v>
      </c>
      <c r="H4" s="17">
        <v>5</v>
      </c>
      <c r="I4" s="17">
        <v>92</v>
      </c>
      <c r="J4" s="17">
        <v>207</v>
      </c>
      <c r="K4" s="23">
        <f t="shared" ref="K4" si="7">SUM(I4:J4)</f>
        <v>299</v>
      </c>
      <c r="L4" s="298">
        <f>J4*0.33</f>
        <v>68.31</v>
      </c>
      <c r="M4" s="82">
        <f>(I4+L4)</f>
        <v>160.31</v>
      </c>
      <c r="N4" s="17">
        <v>68</v>
      </c>
      <c r="O4" s="255">
        <v>161</v>
      </c>
      <c r="P4" s="299">
        <f t="shared" ref="P4" si="8">M4/O4</f>
        <v>0.99571428571428577</v>
      </c>
      <c r="Q4" s="17">
        <v>66</v>
      </c>
      <c r="R4" s="17">
        <v>21</v>
      </c>
      <c r="S4" s="20">
        <v>1787312</v>
      </c>
      <c r="T4" s="24">
        <f t="shared" ref="T4" si="9">SUM(U4:V4)</f>
        <v>3864115</v>
      </c>
      <c r="U4" s="20">
        <v>3864115</v>
      </c>
      <c r="V4" s="20">
        <v>0</v>
      </c>
      <c r="W4" s="135">
        <f t="shared" ref="W4" si="10">V4/T4</f>
        <v>0</v>
      </c>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row>
    <row r="5" spans="1:220" s="14" customFormat="1">
      <c r="A5" s="10">
        <v>2020</v>
      </c>
      <c r="B5" s="17">
        <v>11</v>
      </c>
      <c r="C5" s="17">
        <v>5</v>
      </c>
      <c r="D5" s="23">
        <f>SUM(B5:C5)</f>
        <v>16</v>
      </c>
      <c r="E5" s="82">
        <f>ROUND((O5/B5), 0)</f>
        <v>15</v>
      </c>
      <c r="F5" s="82">
        <f>ROUND((O5/D5), 0)</f>
        <v>10</v>
      </c>
      <c r="G5" s="17">
        <v>11</v>
      </c>
      <c r="H5" s="17">
        <v>5</v>
      </c>
      <c r="I5" s="17">
        <v>65</v>
      </c>
      <c r="J5" s="17">
        <v>171</v>
      </c>
      <c r="K5" s="23">
        <f t="shared" ref="K5" si="11">SUM(I5:J5)</f>
        <v>236</v>
      </c>
      <c r="L5" s="298">
        <f>J5*0.33</f>
        <v>56.43</v>
      </c>
      <c r="M5" s="82">
        <f>(I5+L5)</f>
        <v>121.43</v>
      </c>
      <c r="N5" s="17">
        <v>62</v>
      </c>
      <c r="O5" s="255">
        <v>162</v>
      </c>
      <c r="P5" s="299">
        <f t="shared" ref="P5" si="12">M5/O5</f>
        <v>0.74956790123456796</v>
      </c>
      <c r="Q5" s="17">
        <v>77</v>
      </c>
      <c r="R5" s="17">
        <v>5</v>
      </c>
      <c r="S5" s="20">
        <v>1803172</v>
      </c>
      <c r="T5" s="24">
        <f>SUM(U5:V5)</f>
        <v>3143862</v>
      </c>
      <c r="U5" s="20">
        <v>3138962</v>
      </c>
      <c r="V5" s="20">
        <v>4900</v>
      </c>
      <c r="W5" s="135">
        <f t="shared" ref="W5" si="13">V5/T5</f>
        <v>1.5585925845345628E-3</v>
      </c>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row>
    <row r="6" spans="1:220" s="14" customFormat="1">
      <c r="A6" s="10">
        <v>2019</v>
      </c>
      <c r="B6" s="17">
        <v>12</v>
      </c>
      <c r="C6" s="17">
        <v>4.5</v>
      </c>
      <c r="D6" s="23">
        <f>SUM(B6:C6)</f>
        <v>16.5</v>
      </c>
      <c r="E6" s="82">
        <f>ROUND((O6/B6), 0)</f>
        <v>13</v>
      </c>
      <c r="F6" s="82">
        <f>ROUND((O6/D6), 0)</f>
        <v>9</v>
      </c>
      <c r="G6" s="17">
        <v>12</v>
      </c>
      <c r="H6" s="17">
        <v>4.5</v>
      </c>
      <c r="I6" s="17">
        <v>76</v>
      </c>
      <c r="J6" s="17">
        <v>210</v>
      </c>
      <c r="K6" s="23">
        <f t="shared" ref="K6" si="14">SUM(I6:J6)</f>
        <v>286</v>
      </c>
      <c r="L6" s="298">
        <f>J6*0.33</f>
        <v>69.3</v>
      </c>
      <c r="M6" s="82">
        <f>(I6+L6)</f>
        <v>145.30000000000001</v>
      </c>
      <c r="N6" s="17">
        <v>71</v>
      </c>
      <c r="O6" s="255">
        <v>153.19999999999999</v>
      </c>
      <c r="P6" s="299">
        <f t="shared" ref="P6" si="15">M6/O6</f>
        <v>0.94843342036553535</v>
      </c>
      <c r="Q6" s="17">
        <v>69</v>
      </c>
      <c r="R6" s="17">
        <v>9</v>
      </c>
      <c r="S6" s="20">
        <f>1876516.07-753.76</f>
        <v>1875762.31</v>
      </c>
      <c r="T6" s="24">
        <f>SUM(U6:V6)</f>
        <v>2837821</v>
      </c>
      <c r="U6" s="20">
        <f>3225766+34859-190797-243374</f>
        <v>2826454</v>
      </c>
      <c r="V6" s="20">
        <v>11367</v>
      </c>
      <c r="W6" s="135">
        <f t="shared" ref="W6" si="16">V6/T6</f>
        <v>4.0055380519067266E-3</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12</v>
      </c>
      <c r="C7" s="17">
        <v>2.67</v>
      </c>
      <c r="D7" s="23">
        <f>SUM(B7:C7)</f>
        <v>14.67</v>
      </c>
      <c r="E7" s="82">
        <f>ROUND((O7/B7), 0)</f>
        <v>9</v>
      </c>
      <c r="F7" s="82">
        <f>ROUND((O7/D7), 0)</f>
        <v>8</v>
      </c>
      <c r="G7" s="17">
        <v>12</v>
      </c>
      <c r="H7" s="17">
        <v>2.67</v>
      </c>
      <c r="I7" s="17">
        <v>54</v>
      </c>
      <c r="J7" s="17">
        <v>108</v>
      </c>
      <c r="K7" s="23">
        <f>SUM(I7:J7)</f>
        <v>162</v>
      </c>
      <c r="L7" s="17">
        <f>J7*0.33</f>
        <v>35.64</v>
      </c>
      <c r="M7" s="82">
        <f>(I7+L7)</f>
        <v>89.64</v>
      </c>
      <c r="N7" s="17">
        <v>54</v>
      </c>
      <c r="O7" s="17">
        <v>110.6</v>
      </c>
      <c r="P7" s="133">
        <f>M7/O7</f>
        <v>0.81048824593128399</v>
      </c>
      <c r="Q7" s="17">
        <v>94</v>
      </c>
      <c r="R7" s="17">
        <v>4</v>
      </c>
      <c r="S7" s="20">
        <v>1819976.52</v>
      </c>
      <c r="T7" s="24">
        <f>SUM(U7:V7)</f>
        <v>3113175</v>
      </c>
      <c r="U7" s="20">
        <v>3104625</v>
      </c>
      <c r="V7" s="20">
        <v>8550</v>
      </c>
      <c r="W7" s="135">
        <f>V7/T7</f>
        <v>2.7463923486472815E-3</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12</v>
      </c>
      <c r="C8" s="17">
        <v>5</v>
      </c>
      <c r="D8" s="27">
        <f>SUM(B8:C8)</f>
        <v>17</v>
      </c>
      <c r="E8" s="27">
        <f t="shared" ref="E8:E23" si="17">ROUND((O8/B8), 0)</f>
        <v>10</v>
      </c>
      <c r="F8" s="27">
        <f t="shared" ref="F8:F23" si="18">ROUND((O8/D8), 0)</f>
        <v>7</v>
      </c>
      <c r="G8" s="17">
        <v>12</v>
      </c>
      <c r="H8" s="17">
        <v>5</v>
      </c>
      <c r="I8" s="17">
        <v>52</v>
      </c>
      <c r="J8" s="17">
        <v>149</v>
      </c>
      <c r="K8" s="27">
        <f t="shared" ref="K8:K23" si="19">SUM(I8:J8)</f>
        <v>201</v>
      </c>
      <c r="L8" s="17">
        <f>J8*0.33</f>
        <v>49.17</v>
      </c>
      <c r="M8" s="29">
        <f t="shared" ref="M8:M23" si="20">(I8+L8)</f>
        <v>101.17</v>
      </c>
      <c r="N8" s="255">
        <v>44</v>
      </c>
      <c r="O8" s="255">
        <v>122.3</v>
      </c>
      <c r="P8" s="133">
        <f t="shared" ref="P8:P23" si="21">M8/O8</f>
        <v>0.82722812755519215</v>
      </c>
      <c r="Q8" s="17">
        <v>86</v>
      </c>
      <c r="R8" s="17">
        <v>0</v>
      </c>
      <c r="S8" s="223">
        <v>1932279</v>
      </c>
      <c r="T8" s="28">
        <f>SUM(U8:V8)</f>
        <v>3352668</v>
      </c>
      <c r="U8" s="252">
        <v>3352668</v>
      </c>
      <c r="V8" s="20">
        <v>0</v>
      </c>
      <c r="W8" s="135">
        <f t="shared" ref="W8:W23" si="22">V8/T8</f>
        <v>0</v>
      </c>
    </row>
    <row r="9" spans="1:220" s="9" customFormat="1">
      <c r="A9" s="10">
        <v>2016</v>
      </c>
      <c r="B9" s="54">
        <v>12</v>
      </c>
      <c r="C9" s="54">
        <v>5</v>
      </c>
      <c r="D9" s="27">
        <f>SUM(B9:C9)</f>
        <v>17</v>
      </c>
      <c r="E9" s="27">
        <f t="shared" si="17"/>
        <v>15</v>
      </c>
      <c r="F9" s="27">
        <f t="shared" si="18"/>
        <v>10</v>
      </c>
      <c r="G9" s="54">
        <v>12</v>
      </c>
      <c r="H9" s="54">
        <v>5</v>
      </c>
      <c r="I9" s="54">
        <v>75</v>
      </c>
      <c r="J9" s="54">
        <f>SUM(29,109)</f>
        <v>138</v>
      </c>
      <c r="K9" s="27">
        <f t="shared" si="19"/>
        <v>213</v>
      </c>
      <c r="L9" s="54">
        <v>46</v>
      </c>
      <c r="M9" s="29">
        <f t="shared" si="20"/>
        <v>121</v>
      </c>
      <c r="N9" s="116">
        <v>37</v>
      </c>
      <c r="O9" s="116">
        <v>178</v>
      </c>
      <c r="P9" s="133">
        <f t="shared" si="21"/>
        <v>0.6797752808988764</v>
      </c>
      <c r="Q9" s="54">
        <v>112</v>
      </c>
      <c r="R9" s="54">
        <v>3</v>
      </c>
      <c r="S9" s="78">
        <f>2004101.69+1524.7+9290.31</f>
        <v>2014916.7</v>
      </c>
      <c r="T9" s="28">
        <f>SUM(U9:V9)</f>
        <v>3476490.55</v>
      </c>
      <c r="U9" s="137">
        <f>3341861.9+131940</f>
        <v>3473801.9</v>
      </c>
      <c r="V9" s="55">
        <v>2688.65</v>
      </c>
      <c r="W9" s="135">
        <f t="shared" si="22"/>
        <v>7.733805000562997E-4</v>
      </c>
    </row>
    <row r="10" spans="1:220" s="9" customFormat="1">
      <c r="A10" s="10">
        <v>2015</v>
      </c>
      <c r="B10" s="54">
        <v>12</v>
      </c>
      <c r="C10" s="70">
        <v>6</v>
      </c>
      <c r="D10" s="29">
        <f>SUM(B10,C10)</f>
        <v>18</v>
      </c>
      <c r="E10" s="29">
        <f t="shared" si="17"/>
        <v>11</v>
      </c>
      <c r="F10" s="29">
        <f t="shared" si="18"/>
        <v>7</v>
      </c>
      <c r="G10" s="83"/>
      <c r="H10" s="83"/>
      <c r="I10" s="54">
        <v>89</v>
      </c>
      <c r="J10" s="54">
        <v>126</v>
      </c>
      <c r="K10" s="27">
        <f t="shared" si="19"/>
        <v>215</v>
      </c>
      <c r="L10" s="158">
        <v>72.25</v>
      </c>
      <c r="M10" s="29">
        <f t="shared" si="20"/>
        <v>161.25</v>
      </c>
      <c r="N10" s="70">
        <v>51</v>
      </c>
      <c r="O10" s="54">
        <v>133.63</v>
      </c>
      <c r="P10" s="133">
        <f t="shared" si="21"/>
        <v>1.2066901144952482</v>
      </c>
      <c r="Q10" s="54">
        <v>114</v>
      </c>
      <c r="R10" s="70">
        <v>2</v>
      </c>
      <c r="S10" s="78">
        <v>2377317</v>
      </c>
      <c r="T10" s="79">
        <v>2377320</v>
      </c>
      <c r="U10" s="78">
        <v>2363151</v>
      </c>
      <c r="V10" s="78">
        <v>14169</v>
      </c>
      <c r="W10" s="135">
        <f t="shared" si="22"/>
        <v>5.9600726868911215E-3</v>
      </c>
    </row>
    <row r="11" spans="1:220" s="164" customFormat="1">
      <c r="A11" s="15">
        <v>2014</v>
      </c>
      <c r="B11" s="159">
        <v>13</v>
      </c>
      <c r="C11" s="159">
        <v>5</v>
      </c>
      <c r="D11" s="160">
        <f t="shared" ref="D11:D23" si="23">SUM(B11:C11)</f>
        <v>18</v>
      </c>
      <c r="E11" s="160">
        <f t="shared" si="17"/>
        <v>15</v>
      </c>
      <c r="F11" s="160">
        <f t="shared" si="18"/>
        <v>11</v>
      </c>
      <c r="G11" s="83"/>
      <c r="H11" s="83"/>
      <c r="I11" s="159">
        <v>90</v>
      </c>
      <c r="J11" s="159">
        <v>168</v>
      </c>
      <c r="K11" s="160">
        <f t="shared" si="19"/>
        <v>258</v>
      </c>
      <c r="L11" s="159">
        <v>92.56</v>
      </c>
      <c r="M11" s="161">
        <f t="shared" si="20"/>
        <v>182.56</v>
      </c>
      <c r="N11" s="159">
        <v>65</v>
      </c>
      <c r="O11" s="159">
        <v>197</v>
      </c>
      <c r="P11" s="133">
        <f t="shared" si="21"/>
        <v>0.92670050761421319</v>
      </c>
      <c r="Q11" s="159">
        <v>164</v>
      </c>
      <c r="R11" s="159">
        <v>5</v>
      </c>
      <c r="S11" s="162">
        <v>2670384</v>
      </c>
      <c r="T11" s="163">
        <f t="shared" ref="T11:T23" si="24">SUM(U11:V11)</f>
        <v>2670384</v>
      </c>
      <c r="U11" s="162">
        <v>2656100</v>
      </c>
      <c r="V11" s="162">
        <v>14284</v>
      </c>
      <c r="W11" s="135">
        <f t="shared" si="22"/>
        <v>5.3490434334537654E-3</v>
      </c>
    </row>
    <row r="12" spans="1:220" s="164" customFormat="1">
      <c r="A12" s="167" t="s">
        <v>34</v>
      </c>
      <c r="B12" s="159">
        <v>15</v>
      </c>
      <c r="C12" s="159">
        <v>4</v>
      </c>
      <c r="D12" s="160">
        <f t="shared" si="23"/>
        <v>19</v>
      </c>
      <c r="E12" s="160">
        <f t="shared" si="17"/>
        <v>15</v>
      </c>
      <c r="F12" s="160">
        <f t="shared" si="18"/>
        <v>12</v>
      </c>
      <c r="G12" s="85"/>
      <c r="H12" s="85"/>
      <c r="I12" s="159">
        <v>94</v>
      </c>
      <c r="J12" s="159">
        <v>205</v>
      </c>
      <c r="K12" s="160">
        <f t="shared" si="19"/>
        <v>299</v>
      </c>
      <c r="L12" s="159">
        <v>114.91</v>
      </c>
      <c r="M12" s="161">
        <f t="shared" si="20"/>
        <v>208.91</v>
      </c>
      <c r="N12" s="159">
        <v>44</v>
      </c>
      <c r="O12" s="159">
        <v>225</v>
      </c>
      <c r="P12" s="133">
        <f t="shared" si="21"/>
        <v>0.92848888888888892</v>
      </c>
      <c r="Q12" s="159">
        <v>189</v>
      </c>
      <c r="R12" s="159">
        <v>5</v>
      </c>
      <c r="S12" s="162">
        <v>2929988</v>
      </c>
      <c r="T12" s="163">
        <f t="shared" si="24"/>
        <v>2929988</v>
      </c>
      <c r="U12" s="162">
        <v>2915198</v>
      </c>
      <c r="V12" s="162">
        <v>14790</v>
      </c>
      <c r="W12" s="135">
        <f t="shared" si="22"/>
        <v>5.0478022435586764E-3</v>
      </c>
    </row>
    <row r="13" spans="1:220" s="164" customFormat="1">
      <c r="A13" s="167" t="s">
        <v>25</v>
      </c>
      <c r="B13" s="159">
        <v>18</v>
      </c>
      <c r="C13" s="159">
        <v>6</v>
      </c>
      <c r="D13" s="160">
        <f t="shared" si="23"/>
        <v>24</v>
      </c>
      <c r="E13" s="161">
        <f t="shared" si="17"/>
        <v>13</v>
      </c>
      <c r="F13" s="161">
        <f t="shared" si="18"/>
        <v>10</v>
      </c>
      <c r="G13" s="85"/>
      <c r="H13" s="85"/>
      <c r="I13" s="159">
        <v>110</v>
      </c>
      <c r="J13" s="159">
        <v>273</v>
      </c>
      <c r="K13" s="160">
        <f t="shared" si="19"/>
        <v>383</v>
      </c>
      <c r="L13" s="159">
        <v>111.17</v>
      </c>
      <c r="M13" s="161">
        <f t="shared" si="20"/>
        <v>221.17000000000002</v>
      </c>
      <c r="N13" s="159">
        <v>52</v>
      </c>
      <c r="O13" s="159">
        <v>233.67000000000002</v>
      </c>
      <c r="P13" s="133">
        <f t="shared" si="21"/>
        <v>0.94650575598065645</v>
      </c>
      <c r="Q13" s="159">
        <v>210</v>
      </c>
      <c r="R13" s="159">
        <v>0</v>
      </c>
      <c r="S13" s="162">
        <v>2935821</v>
      </c>
      <c r="T13" s="163">
        <f t="shared" si="24"/>
        <v>2935821</v>
      </c>
      <c r="U13" s="162">
        <v>2911027</v>
      </c>
      <c r="V13" s="162">
        <v>24794</v>
      </c>
      <c r="W13" s="135">
        <f t="shared" si="22"/>
        <v>8.4453377777459863E-3</v>
      </c>
    </row>
    <row r="14" spans="1:220" s="164" customFormat="1">
      <c r="A14" s="167" t="s">
        <v>26</v>
      </c>
      <c r="B14" s="159">
        <v>16</v>
      </c>
      <c r="C14" s="159">
        <v>10</v>
      </c>
      <c r="D14" s="160">
        <f t="shared" si="23"/>
        <v>26</v>
      </c>
      <c r="E14" s="161">
        <f t="shared" si="17"/>
        <v>21</v>
      </c>
      <c r="F14" s="161">
        <f t="shared" si="18"/>
        <v>13</v>
      </c>
      <c r="G14" s="85"/>
      <c r="H14" s="85"/>
      <c r="I14" s="159">
        <v>141</v>
      </c>
      <c r="J14" s="159">
        <v>311</v>
      </c>
      <c r="K14" s="160">
        <f t="shared" si="19"/>
        <v>452</v>
      </c>
      <c r="L14" s="159">
        <v>173</v>
      </c>
      <c r="M14" s="161">
        <f t="shared" si="20"/>
        <v>314</v>
      </c>
      <c r="N14" s="159">
        <v>53</v>
      </c>
      <c r="O14" s="159">
        <v>340.66</v>
      </c>
      <c r="P14" s="133">
        <f t="shared" si="21"/>
        <v>0.92174015147067445</v>
      </c>
      <c r="Q14" s="159">
        <v>256</v>
      </c>
      <c r="R14" s="159">
        <v>0</v>
      </c>
      <c r="S14" s="162">
        <v>3000412</v>
      </c>
      <c r="T14" s="163">
        <f t="shared" si="24"/>
        <v>3000412</v>
      </c>
      <c r="U14" s="162">
        <v>2970042</v>
      </c>
      <c r="V14" s="162">
        <v>30370</v>
      </c>
      <c r="W14" s="135">
        <f t="shared" si="22"/>
        <v>1.0121943253126571E-2</v>
      </c>
    </row>
    <row r="15" spans="1:220" s="164" customFormat="1">
      <c r="A15" s="167" t="s">
        <v>27</v>
      </c>
      <c r="B15" s="159">
        <v>19</v>
      </c>
      <c r="C15" s="159">
        <v>8.67</v>
      </c>
      <c r="D15" s="160">
        <f t="shared" si="23"/>
        <v>27.67</v>
      </c>
      <c r="E15" s="161">
        <f t="shared" si="17"/>
        <v>22</v>
      </c>
      <c r="F15" s="161">
        <f t="shared" si="18"/>
        <v>15</v>
      </c>
      <c r="G15" s="85"/>
      <c r="H15" s="85"/>
      <c r="I15" s="159">
        <v>159</v>
      </c>
      <c r="J15" s="159">
        <v>364</v>
      </c>
      <c r="K15" s="160">
        <f t="shared" si="19"/>
        <v>523</v>
      </c>
      <c r="L15" s="159">
        <v>243.88</v>
      </c>
      <c r="M15" s="161">
        <f t="shared" si="20"/>
        <v>402.88</v>
      </c>
      <c r="N15" s="159">
        <v>73</v>
      </c>
      <c r="O15" s="159">
        <v>418.96</v>
      </c>
      <c r="P15" s="133">
        <f t="shared" si="21"/>
        <v>0.96161924766087459</v>
      </c>
      <c r="Q15" s="159">
        <v>237</v>
      </c>
      <c r="R15" s="159">
        <v>0</v>
      </c>
      <c r="S15" s="162">
        <v>2743106</v>
      </c>
      <c r="T15" s="163">
        <f t="shared" si="24"/>
        <v>2743106</v>
      </c>
      <c r="U15" s="162">
        <v>2666424</v>
      </c>
      <c r="V15" s="162">
        <v>76682</v>
      </c>
      <c r="W15" s="135">
        <f t="shared" si="22"/>
        <v>2.7954442883359229E-2</v>
      </c>
    </row>
    <row r="16" spans="1:220" s="164" customFormat="1">
      <c r="A16" s="167" t="s">
        <v>28</v>
      </c>
      <c r="B16" s="159">
        <v>17</v>
      </c>
      <c r="C16" s="159">
        <v>8.33</v>
      </c>
      <c r="D16" s="160">
        <f t="shared" si="23"/>
        <v>25.33</v>
      </c>
      <c r="E16" s="161">
        <f t="shared" si="17"/>
        <v>20</v>
      </c>
      <c r="F16" s="161">
        <f t="shared" si="18"/>
        <v>13</v>
      </c>
      <c r="G16" s="85"/>
      <c r="H16" s="85"/>
      <c r="I16" s="159">
        <v>161</v>
      </c>
      <c r="J16" s="159">
        <v>340</v>
      </c>
      <c r="K16" s="160">
        <f t="shared" si="19"/>
        <v>501</v>
      </c>
      <c r="L16" s="159">
        <v>157.62</v>
      </c>
      <c r="M16" s="161">
        <f t="shared" si="20"/>
        <v>318.62</v>
      </c>
      <c r="N16" s="159">
        <v>74</v>
      </c>
      <c r="O16" s="159">
        <v>332.9</v>
      </c>
      <c r="P16" s="133">
        <f t="shared" si="21"/>
        <v>0.95710423550615809</v>
      </c>
      <c r="Q16" s="159">
        <v>209</v>
      </c>
      <c r="R16" s="159">
        <v>2</v>
      </c>
      <c r="S16" s="162">
        <v>2755878</v>
      </c>
      <c r="T16" s="163">
        <f t="shared" si="24"/>
        <v>2755878</v>
      </c>
      <c r="U16" s="162">
        <v>2598663</v>
      </c>
      <c r="V16" s="162">
        <v>157215</v>
      </c>
      <c r="W16" s="135">
        <f t="shared" si="22"/>
        <v>5.7047155207886564E-2</v>
      </c>
    </row>
    <row r="17" spans="1:24" s="164" customFormat="1">
      <c r="A17" s="167" t="s">
        <v>29</v>
      </c>
      <c r="B17" s="159">
        <v>17</v>
      </c>
      <c r="C17" s="159">
        <v>7</v>
      </c>
      <c r="D17" s="160">
        <f t="shared" si="23"/>
        <v>24</v>
      </c>
      <c r="E17" s="161">
        <f t="shared" si="17"/>
        <v>16</v>
      </c>
      <c r="F17" s="161">
        <f t="shared" si="18"/>
        <v>11</v>
      </c>
      <c r="G17" s="85"/>
      <c r="H17" s="85"/>
      <c r="I17" s="159">
        <v>125</v>
      </c>
      <c r="J17" s="159">
        <v>366</v>
      </c>
      <c r="K17" s="160">
        <f t="shared" si="19"/>
        <v>491</v>
      </c>
      <c r="L17" s="159">
        <v>145.30000000000001</v>
      </c>
      <c r="M17" s="161">
        <f t="shared" si="20"/>
        <v>270.3</v>
      </c>
      <c r="N17" s="159">
        <v>61</v>
      </c>
      <c r="O17" s="159">
        <v>275.3</v>
      </c>
      <c r="P17" s="133">
        <f t="shared" si="21"/>
        <v>0.98183799491463852</v>
      </c>
      <c r="Q17" s="159">
        <v>252</v>
      </c>
      <c r="R17" s="159">
        <v>1</v>
      </c>
      <c r="S17" s="162">
        <v>2619264</v>
      </c>
      <c r="T17" s="163">
        <f t="shared" si="24"/>
        <v>2619264</v>
      </c>
      <c r="U17" s="162">
        <v>2491020</v>
      </c>
      <c r="V17" s="162">
        <v>128244</v>
      </c>
      <c r="W17" s="135">
        <f t="shared" si="22"/>
        <v>4.8961845770414895E-2</v>
      </c>
    </row>
    <row r="18" spans="1:24" s="164" customFormat="1">
      <c r="A18" s="167">
        <v>2007</v>
      </c>
      <c r="B18" s="159">
        <v>16</v>
      </c>
      <c r="C18" s="159">
        <v>9.66</v>
      </c>
      <c r="D18" s="160">
        <f t="shared" si="23"/>
        <v>25.66</v>
      </c>
      <c r="E18" s="161">
        <f t="shared" si="17"/>
        <v>18</v>
      </c>
      <c r="F18" s="161">
        <f t="shared" si="18"/>
        <v>11</v>
      </c>
      <c r="G18" s="85"/>
      <c r="H18" s="85"/>
      <c r="I18" s="159">
        <v>124</v>
      </c>
      <c r="J18" s="159">
        <v>479</v>
      </c>
      <c r="K18" s="160">
        <f t="shared" si="19"/>
        <v>603</v>
      </c>
      <c r="L18" s="159">
        <v>159.66</v>
      </c>
      <c r="M18" s="161">
        <f t="shared" si="20"/>
        <v>283.65999999999997</v>
      </c>
      <c r="N18" s="159">
        <v>61</v>
      </c>
      <c r="O18" s="159">
        <v>290</v>
      </c>
      <c r="P18" s="133">
        <f t="shared" si="21"/>
        <v>0.97813793103448265</v>
      </c>
      <c r="Q18" s="159">
        <v>288</v>
      </c>
      <c r="R18" s="159">
        <v>0</v>
      </c>
      <c r="S18" s="165">
        <v>2474956</v>
      </c>
      <c r="T18" s="163">
        <f t="shared" si="24"/>
        <v>2474956</v>
      </c>
      <c r="U18" s="165">
        <v>2432985</v>
      </c>
      <c r="V18" s="165">
        <v>41971</v>
      </c>
      <c r="W18" s="135">
        <f t="shared" si="22"/>
        <v>1.695828127853586E-2</v>
      </c>
      <c r="X18" s="166"/>
    </row>
    <row r="19" spans="1:24" s="164" customFormat="1">
      <c r="A19" s="167">
        <v>2006</v>
      </c>
      <c r="B19" s="159">
        <v>16</v>
      </c>
      <c r="C19" s="159">
        <v>9</v>
      </c>
      <c r="D19" s="160">
        <f t="shared" si="23"/>
        <v>25</v>
      </c>
      <c r="E19" s="161">
        <f t="shared" si="17"/>
        <v>28</v>
      </c>
      <c r="F19" s="161">
        <f t="shared" si="18"/>
        <v>18</v>
      </c>
      <c r="G19" s="85"/>
      <c r="H19" s="85"/>
      <c r="I19" s="159">
        <v>137</v>
      </c>
      <c r="J19" s="159">
        <v>584</v>
      </c>
      <c r="K19" s="160">
        <f t="shared" si="19"/>
        <v>721</v>
      </c>
      <c r="L19" s="159">
        <v>301</v>
      </c>
      <c r="M19" s="161">
        <f t="shared" si="20"/>
        <v>438</v>
      </c>
      <c r="N19" s="159">
        <v>43</v>
      </c>
      <c r="O19" s="159">
        <v>447</v>
      </c>
      <c r="P19" s="133">
        <f t="shared" si="21"/>
        <v>0.97986577181208057</v>
      </c>
      <c r="Q19" s="159">
        <v>278</v>
      </c>
      <c r="R19" s="159">
        <v>0</v>
      </c>
      <c r="S19" s="165">
        <v>2424187</v>
      </c>
      <c r="T19" s="163">
        <f t="shared" si="24"/>
        <v>2424187</v>
      </c>
      <c r="U19" s="165">
        <v>2407550</v>
      </c>
      <c r="V19" s="165">
        <v>16637</v>
      </c>
      <c r="W19" s="135">
        <f t="shared" si="22"/>
        <v>6.8629194034948628E-3</v>
      </c>
      <c r="X19" s="166"/>
    </row>
    <row r="20" spans="1:24" s="164" customFormat="1">
      <c r="A20" s="167">
        <v>2005</v>
      </c>
      <c r="B20" s="159">
        <v>15</v>
      </c>
      <c r="C20" s="159">
        <v>11</v>
      </c>
      <c r="D20" s="160">
        <f t="shared" si="23"/>
        <v>26</v>
      </c>
      <c r="E20" s="161">
        <f t="shared" si="17"/>
        <v>30</v>
      </c>
      <c r="F20" s="161">
        <f t="shared" si="18"/>
        <v>18</v>
      </c>
      <c r="G20" s="85"/>
      <c r="H20" s="85"/>
      <c r="I20" s="159">
        <v>157</v>
      </c>
      <c r="J20" s="159">
        <v>586</v>
      </c>
      <c r="K20" s="160">
        <f t="shared" si="19"/>
        <v>743</v>
      </c>
      <c r="L20" s="159">
        <v>295</v>
      </c>
      <c r="M20" s="161">
        <f t="shared" si="20"/>
        <v>452</v>
      </c>
      <c r="N20" s="159">
        <v>25</v>
      </c>
      <c r="O20" s="159">
        <v>456</v>
      </c>
      <c r="P20" s="133">
        <f t="shared" si="21"/>
        <v>0.99122807017543857</v>
      </c>
      <c r="Q20" s="159">
        <v>186</v>
      </c>
      <c r="R20" s="159">
        <v>0</v>
      </c>
      <c r="S20" s="165">
        <v>2370830</v>
      </c>
      <c r="T20" s="163">
        <f t="shared" si="24"/>
        <v>2370830</v>
      </c>
      <c r="U20" s="165">
        <v>2341793</v>
      </c>
      <c r="V20" s="165">
        <v>29037</v>
      </c>
      <c r="W20" s="135">
        <f t="shared" si="22"/>
        <v>1.2247609486972916E-2</v>
      </c>
      <c r="X20" s="166"/>
    </row>
    <row r="21" spans="1:24" s="164" customFormat="1">
      <c r="A21" s="167">
        <v>2004</v>
      </c>
      <c r="B21" s="159">
        <v>13</v>
      </c>
      <c r="C21" s="159">
        <v>9</v>
      </c>
      <c r="D21" s="160">
        <f t="shared" si="23"/>
        <v>22</v>
      </c>
      <c r="E21" s="161">
        <f t="shared" si="17"/>
        <v>35</v>
      </c>
      <c r="F21" s="161">
        <f t="shared" si="18"/>
        <v>21</v>
      </c>
      <c r="G21" s="85"/>
      <c r="H21" s="85"/>
      <c r="I21" s="159">
        <v>127</v>
      </c>
      <c r="J21" s="159">
        <v>639</v>
      </c>
      <c r="K21" s="160">
        <f t="shared" si="19"/>
        <v>766</v>
      </c>
      <c r="L21" s="159">
        <v>328</v>
      </c>
      <c r="M21" s="161">
        <f t="shared" si="20"/>
        <v>455</v>
      </c>
      <c r="N21" s="159">
        <v>31</v>
      </c>
      <c r="O21" s="159">
        <v>458</v>
      </c>
      <c r="P21" s="133">
        <f t="shared" si="21"/>
        <v>0.99344978165938869</v>
      </c>
      <c r="Q21" s="159">
        <v>151</v>
      </c>
      <c r="R21" s="159">
        <v>1</v>
      </c>
      <c r="S21" s="165">
        <v>2186181</v>
      </c>
      <c r="T21" s="163">
        <f t="shared" si="24"/>
        <v>2186181</v>
      </c>
      <c r="U21" s="165">
        <v>2153821</v>
      </c>
      <c r="V21" s="165">
        <v>32360</v>
      </c>
      <c r="W21" s="135">
        <f t="shared" si="22"/>
        <v>1.4802068081279637E-2</v>
      </c>
    </row>
    <row r="22" spans="1:24" s="164" customFormat="1">
      <c r="A22" s="167">
        <v>2003</v>
      </c>
      <c r="B22" s="159">
        <v>11</v>
      </c>
      <c r="C22" s="159">
        <v>12</v>
      </c>
      <c r="D22" s="160">
        <f t="shared" si="23"/>
        <v>23</v>
      </c>
      <c r="E22" s="161">
        <f t="shared" si="17"/>
        <v>40</v>
      </c>
      <c r="F22" s="161">
        <f t="shared" si="18"/>
        <v>19</v>
      </c>
      <c r="G22" s="85"/>
      <c r="H22" s="85"/>
      <c r="I22" s="159">
        <v>110</v>
      </c>
      <c r="J22" s="159">
        <v>620</v>
      </c>
      <c r="K22" s="160">
        <f t="shared" si="19"/>
        <v>730</v>
      </c>
      <c r="L22" s="159">
        <v>320</v>
      </c>
      <c r="M22" s="161">
        <f t="shared" si="20"/>
        <v>430</v>
      </c>
      <c r="N22" s="159">
        <v>26</v>
      </c>
      <c r="O22" s="159">
        <v>437</v>
      </c>
      <c r="P22" s="133">
        <f t="shared" si="21"/>
        <v>0.98398169336384445</v>
      </c>
      <c r="Q22" s="159">
        <v>160</v>
      </c>
      <c r="R22" s="159">
        <v>0</v>
      </c>
      <c r="S22" s="165">
        <v>1810467</v>
      </c>
      <c r="T22" s="163">
        <f t="shared" si="24"/>
        <v>1810467</v>
      </c>
      <c r="U22" s="165">
        <v>1732473</v>
      </c>
      <c r="V22" s="165">
        <v>77994</v>
      </c>
      <c r="W22" s="135">
        <f t="shared" si="22"/>
        <v>4.3079492749660726E-2</v>
      </c>
    </row>
    <row r="23" spans="1:24" s="164" customFormat="1">
      <c r="A23" s="167">
        <v>2002</v>
      </c>
      <c r="B23" s="159">
        <v>8</v>
      </c>
      <c r="C23" s="159">
        <v>9</v>
      </c>
      <c r="D23" s="160">
        <f t="shared" si="23"/>
        <v>17</v>
      </c>
      <c r="E23" s="161">
        <f t="shared" si="17"/>
        <v>51</v>
      </c>
      <c r="F23" s="161">
        <f t="shared" si="18"/>
        <v>24</v>
      </c>
      <c r="G23" s="85"/>
      <c r="H23" s="85"/>
      <c r="I23" s="159">
        <v>117</v>
      </c>
      <c r="J23" s="159">
        <v>546</v>
      </c>
      <c r="K23" s="160">
        <f t="shared" si="19"/>
        <v>663</v>
      </c>
      <c r="L23" s="159">
        <f>ROUND(280.2, 0)</f>
        <v>280</v>
      </c>
      <c r="M23" s="161">
        <f t="shared" si="20"/>
        <v>397</v>
      </c>
      <c r="N23" s="159">
        <v>33</v>
      </c>
      <c r="O23" s="159">
        <f>ROUND(408.14, 0)</f>
        <v>408</v>
      </c>
      <c r="P23" s="133">
        <f t="shared" si="21"/>
        <v>0.97303921568627449</v>
      </c>
      <c r="Q23" s="159">
        <v>192</v>
      </c>
      <c r="R23" s="159">
        <v>0</v>
      </c>
      <c r="S23" s="165">
        <v>1815919</v>
      </c>
      <c r="T23" s="163">
        <f t="shared" si="24"/>
        <v>1815919</v>
      </c>
      <c r="U23" s="165">
        <v>1669042</v>
      </c>
      <c r="V23" s="165">
        <v>146877</v>
      </c>
      <c r="W23" s="135">
        <f t="shared" si="22"/>
        <v>8.0883012953771621E-2</v>
      </c>
    </row>
    <row r="24" spans="1:24" s="62" customFormat="1" ht="65.25" customHeight="1">
      <c r="A24" s="539" t="s">
        <v>70</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4" s="62" customFormat="1">
      <c r="A25" s="60"/>
      <c r="S25" s="12"/>
    </row>
    <row r="26" spans="1:24" s="62" customFormat="1"/>
    <row r="27" spans="1:24" s="62" customFormat="1">
      <c r="U27" s="12"/>
    </row>
    <row r="28" spans="1:24" s="62" customFormat="1"/>
    <row r="29" spans="1:24" s="62" customFormat="1">
      <c r="V29" s="12"/>
    </row>
    <row r="30" spans="1:24" s="62" customFormat="1"/>
    <row r="31" spans="1:24" s="62" customFormat="1"/>
    <row r="32" spans="1:24" s="62" customFormat="1"/>
    <row r="33" s="62" customFormat="1"/>
    <row r="34" s="62" customFormat="1"/>
    <row r="35" s="62" customFormat="1"/>
  </sheetData>
  <mergeCells count="1">
    <mergeCell ref="A24:W24"/>
  </mergeCells>
  <printOptions headings="1" gridLines="1"/>
  <pageMargins left="0.5" right="0.5" top="0.5" bottom="0.5" header="0" footer="0"/>
  <pageSetup paperSize="5" scale="65" orientation="landscape"/>
  <legacy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L38"/>
  <sheetViews>
    <sheetView topLeftCell="A2" workbookViewId="0">
      <selection activeCell="A3" sqref="A3"/>
    </sheetView>
  </sheetViews>
  <sheetFormatPr defaultColWidth="8.85546875" defaultRowHeight="15"/>
  <cols>
    <col min="1" max="1" width="9.5703125" customWidth="1"/>
    <col min="2" max="2" width="10.28515625" bestFit="1" customWidth="1"/>
    <col min="3" max="3" width="8.42578125" bestFit="1" customWidth="1"/>
    <col min="4" max="4" width="9.42578125" bestFit="1" customWidth="1"/>
    <col min="5" max="5" width="12.42578125" bestFit="1" customWidth="1"/>
    <col min="6" max="6" width="11.42578125" bestFit="1" customWidth="1"/>
    <col min="7" max="8" width="12.140625" customWidth="1"/>
    <col min="9" max="9" width="9" bestFit="1" customWidth="1"/>
    <col min="10" max="11" width="12" bestFit="1" customWidth="1"/>
    <col min="12" max="12" width="12.42578125" bestFit="1" customWidth="1"/>
    <col min="13" max="14" width="13.28515625" bestFit="1" customWidth="1"/>
    <col min="15" max="15" width="13.42578125" bestFit="1" customWidth="1"/>
    <col min="16" max="16" width="14.28515625" customWidth="1"/>
    <col min="17" max="17" width="12.42578125" bestFit="1" customWidth="1"/>
    <col min="18" max="18" width="9.140625" bestFit="1" customWidth="1"/>
    <col min="19" max="19" width="12" bestFit="1" customWidth="1"/>
    <col min="20" max="20" width="13" bestFit="1" customWidth="1"/>
    <col min="21" max="21" width="11.5703125" bestFit="1" customWidth="1"/>
    <col min="22" max="22" width="11" bestFit="1" customWidth="1"/>
    <col min="23" max="23" width="13" bestFit="1" customWidth="1"/>
  </cols>
  <sheetData>
    <row r="1" spans="1:220" s="1" customFormat="1" ht="18.75">
      <c r="A1" s="1" t="s">
        <v>71</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row>
    <row r="2" spans="1:220" s="3"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row>
    <row r="3" spans="1:220" s="387" customFormat="1">
      <c r="A3" s="105">
        <v>2022</v>
      </c>
      <c r="B3" s="54">
        <v>72</v>
      </c>
      <c r="C3" s="54">
        <v>9.58</v>
      </c>
      <c r="D3" s="65">
        <f t="shared" ref="D3" si="0">SUM(B3:C3)</f>
        <v>81.58</v>
      </c>
      <c r="E3" s="13">
        <f t="shared" ref="E3" si="1">ROUND((O3/B3), 0)</f>
        <v>31</v>
      </c>
      <c r="F3" s="13">
        <f t="shared" ref="F3" si="2">ROUND((O3/D3), 0)</f>
        <v>27</v>
      </c>
      <c r="G3" s="54">
        <v>37</v>
      </c>
      <c r="H3" s="54">
        <v>3.25</v>
      </c>
      <c r="I3" s="54">
        <v>35</v>
      </c>
      <c r="J3" s="54">
        <v>83</v>
      </c>
      <c r="K3" s="65">
        <f t="shared" ref="K3" si="3">SUM(I3:J3)</f>
        <v>118</v>
      </c>
      <c r="L3" s="54">
        <v>47.45</v>
      </c>
      <c r="M3" s="13">
        <f t="shared" ref="M3" si="4">(I3+L3)</f>
        <v>82.45</v>
      </c>
      <c r="N3" s="54">
        <v>26</v>
      </c>
      <c r="O3" s="54">
        <v>2241.9</v>
      </c>
      <c r="P3" s="134">
        <f t="shared" ref="P3" si="5">M3/O3</f>
        <v>3.6776841072304743E-2</v>
      </c>
      <c r="Q3" s="54">
        <v>50</v>
      </c>
      <c r="R3" s="54">
        <v>536</v>
      </c>
      <c r="S3" s="20">
        <v>31651466.860000011</v>
      </c>
      <c r="T3" s="68">
        <f t="shared" ref="T3" si="6">SUM(U3:V3)</f>
        <v>31570700.649999999</v>
      </c>
      <c r="U3" s="20">
        <v>25879286.649999999</v>
      </c>
      <c r="V3" s="20">
        <v>5691414</v>
      </c>
      <c r="W3" s="135">
        <f>V3/T3</f>
        <v>0.18027518815930998</v>
      </c>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row>
    <row r="4" spans="1:220" s="301" customFormat="1">
      <c r="A4" s="105">
        <v>2021</v>
      </c>
      <c r="B4" s="66">
        <v>66</v>
      </c>
      <c r="C4" s="66">
        <v>9.25</v>
      </c>
      <c r="D4" s="65">
        <f>SUM(B4:C4)</f>
        <v>75.25</v>
      </c>
      <c r="E4" s="13">
        <f t="shared" ref="E4" si="7">ROUND((O4/B4), 0)</f>
        <v>32</v>
      </c>
      <c r="F4" s="13">
        <f t="shared" ref="F4" si="8">ROUND((O4/D4), 0)</f>
        <v>28</v>
      </c>
      <c r="G4" s="66">
        <v>35</v>
      </c>
      <c r="H4" s="66">
        <v>1.75</v>
      </c>
      <c r="I4" s="66">
        <v>33</v>
      </c>
      <c r="J4" s="66">
        <v>92</v>
      </c>
      <c r="K4" s="65">
        <f t="shared" ref="K4" si="9">SUM(I4:J4)</f>
        <v>125</v>
      </c>
      <c r="L4" s="66">
        <v>51.44</v>
      </c>
      <c r="M4" s="13">
        <f>(I4+L4)</f>
        <v>84.44</v>
      </c>
      <c r="N4" s="66">
        <v>26</v>
      </c>
      <c r="O4" s="66">
        <v>2089.9699999999998</v>
      </c>
      <c r="P4" s="134">
        <f t="shared" ref="P4" si="10">M4/O4</f>
        <v>4.0402493815700706E-2</v>
      </c>
      <c r="Q4" s="66">
        <v>55</v>
      </c>
      <c r="R4" s="66">
        <v>489</v>
      </c>
      <c r="S4" s="20">
        <v>28487021.670000009</v>
      </c>
      <c r="T4" s="68">
        <f t="shared" ref="T4" si="11">SUM(U4:V4)</f>
        <v>29475661.219999999</v>
      </c>
      <c r="U4" s="20">
        <v>24646084.210000001</v>
      </c>
      <c r="V4" s="20">
        <v>4829577.01</v>
      </c>
      <c r="W4" s="135">
        <f>V4/T4</f>
        <v>0.16384965799250695</v>
      </c>
      <c r="X4" s="351"/>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row>
    <row r="5" spans="1:220" s="301" customFormat="1">
      <c r="A5" s="105">
        <v>2020</v>
      </c>
      <c r="B5" s="66">
        <v>64</v>
      </c>
      <c r="C5" s="66">
        <v>9.83</v>
      </c>
      <c r="D5" s="65">
        <f>SUM(B5:C5)</f>
        <v>73.83</v>
      </c>
      <c r="E5" s="13">
        <f>ROUND((O5/B5), 0)</f>
        <v>31</v>
      </c>
      <c r="F5" s="13">
        <f>ROUND((O5/D5), 0)</f>
        <v>27</v>
      </c>
      <c r="G5" s="66">
        <v>33</v>
      </c>
      <c r="H5" s="66">
        <v>1.75</v>
      </c>
      <c r="I5" s="66">
        <v>33</v>
      </c>
      <c r="J5" s="66">
        <v>89</v>
      </c>
      <c r="K5" s="65">
        <f t="shared" ref="K5" si="12">SUM(I5:J5)</f>
        <v>122</v>
      </c>
      <c r="L5" s="66">
        <v>48.75</v>
      </c>
      <c r="M5" s="13">
        <f>(I5+L5)</f>
        <v>81.75</v>
      </c>
      <c r="N5" s="66">
        <v>19</v>
      </c>
      <c r="O5" s="66">
        <v>1973.29</v>
      </c>
      <c r="P5" s="134">
        <f t="shared" ref="P5" si="13">M5/O5</f>
        <v>4.1428274607381584E-2</v>
      </c>
      <c r="Q5" s="66">
        <v>49</v>
      </c>
      <c r="R5" s="66">
        <v>346</v>
      </c>
      <c r="S5" s="20">
        <v>27886917</v>
      </c>
      <c r="T5" s="68">
        <f>SUM(U5:V5)</f>
        <v>28399247</v>
      </c>
      <c r="U5" s="20">
        <v>25148403</v>
      </c>
      <c r="V5" s="20">
        <v>3250844</v>
      </c>
      <c r="W5" s="135">
        <f>V5/T5</f>
        <v>0.1144693730788003</v>
      </c>
      <c r="X5" s="351"/>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row>
    <row r="6" spans="1:220" s="301" customFormat="1">
      <c r="A6" s="105">
        <v>2019</v>
      </c>
      <c r="B6" s="66">
        <v>59</v>
      </c>
      <c r="C6" s="66">
        <v>12.25</v>
      </c>
      <c r="D6" s="65">
        <f>SUM(B6:C6)</f>
        <v>71.25</v>
      </c>
      <c r="E6" s="13">
        <f>ROUND((O6/B6), 0)</f>
        <v>33</v>
      </c>
      <c r="F6" s="13">
        <f>ROUND((O6/D6), 0)</f>
        <v>27</v>
      </c>
      <c r="G6" s="66">
        <v>32</v>
      </c>
      <c r="H6" s="66">
        <v>0.5</v>
      </c>
      <c r="I6" s="66">
        <v>28</v>
      </c>
      <c r="J6" s="66">
        <v>112</v>
      </c>
      <c r="K6" s="65">
        <f>SUM(I6:J6)</f>
        <v>140</v>
      </c>
      <c r="L6" s="66">
        <v>61.4</v>
      </c>
      <c r="M6" s="13">
        <f>(I6+L6)</f>
        <v>89.4</v>
      </c>
      <c r="N6" s="66">
        <v>29</v>
      </c>
      <c r="O6" s="66">
        <v>1919.2</v>
      </c>
      <c r="P6" s="134">
        <f>M6/O6</f>
        <v>4.6581909128803667E-2</v>
      </c>
      <c r="Q6" s="66">
        <v>79</v>
      </c>
      <c r="R6" s="66">
        <v>314</v>
      </c>
      <c r="S6" s="20">
        <v>21952616</v>
      </c>
      <c r="T6" s="68">
        <f>SUM(U6:V6)</f>
        <v>22686400</v>
      </c>
      <c r="U6" s="20">
        <v>19137039</v>
      </c>
      <c r="V6" s="20">
        <f>3445070+104291</f>
        <v>3549361</v>
      </c>
      <c r="W6" s="135">
        <f>V6/T6</f>
        <v>0.15645324952394385</v>
      </c>
      <c r="X6" s="30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row>
    <row r="7" spans="1:220" s="14" customFormat="1">
      <c r="A7" s="10">
        <v>2018</v>
      </c>
      <c r="B7" s="17">
        <v>57</v>
      </c>
      <c r="C7" s="17">
        <v>9.6999999999999993</v>
      </c>
      <c r="D7" s="23">
        <f>SUM(B7:C7)</f>
        <v>66.7</v>
      </c>
      <c r="E7" s="82">
        <f>ROUND((O7/B7), 0)</f>
        <v>29</v>
      </c>
      <c r="F7" s="82">
        <f>ROUND((O7/D7), 0)</f>
        <v>25</v>
      </c>
      <c r="G7" s="17">
        <v>29</v>
      </c>
      <c r="H7" s="17">
        <v>0.5</v>
      </c>
      <c r="I7" s="17">
        <v>39</v>
      </c>
      <c r="J7" s="17">
        <v>129</v>
      </c>
      <c r="K7" s="23">
        <f t="shared" ref="K7" si="14">SUM(I7:J7)</f>
        <v>168</v>
      </c>
      <c r="L7" s="17">
        <v>69.400000000000006</v>
      </c>
      <c r="M7" s="82">
        <f>(I7+L7)</f>
        <v>108.4</v>
      </c>
      <c r="N7" s="17">
        <v>30</v>
      </c>
      <c r="O7" s="17">
        <v>1636.5</v>
      </c>
      <c r="P7" s="133">
        <f>M7/O7</f>
        <v>6.6238924534066615E-2</v>
      </c>
      <c r="Q7" s="17">
        <v>80</v>
      </c>
      <c r="R7" s="17">
        <v>299</v>
      </c>
      <c r="S7" s="20">
        <v>23068370</v>
      </c>
      <c r="T7" s="24">
        <f>SUM(U7:V7)</f>
        <v>23269671.620000001</v>
      </c>
      <c r="U7" s="20">
        <v>18157653.620000001</v>
      </c>
      <c r="V7" s="20">
        <f>5044018+68000</f>
        <v>5112018</v>
      </c>
      <c r="W7" s="135">
        <f>V7/T7</f>
        <v>0.21968586765987203</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60</v>
      </c>
      <c r="C8" s="17">
        <v>7.83</v>
      </c>
      <c r="D8" s="27">
        <f>SUM(B8:C8)</f>
        <v>67.83</v>
      </c>
      <c r="E8" s="27">
        <f>ROUND((O8/B8), 0)</f>
        <v>25</v>
      </c>
      <c r="F8" s="27">
        <f>ROUND((O8/D8), 0)</f>
        <v>22</v>
      </c>
      <c r="G8" s="17">
        <v>28</v>
      </c>
      <c r="H8" s="17">
        <v>0</v>
      </c>
      <c r="I8" s="17">
        <v>52</v>
      </c>
      <c r="J8" s="17">
        <v>127</v>
      </c>
      <c r="K8" s="27">
        <f>SUM(I8:J8)</f>
        <v>179</v>
      </c>
      <c r="L8" s="17">
        <v>68.7</v>
      </c>
      <c r="M8" s="29">
        <f>(I8+L8)</f>
        <v>120.7</v>
      </c>
      <c r="N8" s="255">
        <v>32</v>
      </c>
      <c r="O8" s="255">
        <v>1470</v>
      </c>
      <c r="P8" s="133">
        <f t="shared" ref="P8:P23" si="15">M8/O8</f>
        <v>8.2108843537414974E-2</v>
      </c>
      <c r="Q8" s="17">
        <v>99</v>
      </c>
      <c r="R8" s="17">
        <v>323</v>
      </c>
      <c r="S8" s="223">
        <v>22020540</v>
      </c>
      <c r="T8" s="28">
        <f>SUM(U8:V8)</f>
        <v>22020541</v>
      </c>
      <c r="U8" s="252">
        <v>17807720</v>
      </c>
      <c r="V8" s="20">
        <v>4212821</v>
      </c>
      <c r="W8" s="135">
        <f t="shared" ref="W8:W23" si="16">V8/T8</f>
        <v>0.19131323794451735</v>
      </c>
    </row>
    <row r="9" spans="1:220" s="64" customFormat="1">
      <c r="A9" s="10">
        <v>2016</v>
      </c>
      <c r="B9" s="54">
        <v>67</v>
      </c>
      <c r="C9" s="54">
        <v>8.33</v>
      </c>
      <c r="D9" s="65">
        <f>B9+C9</f>
        <v>75.33</v>
      </c>
      <c r="E9" s="13">
        <f>ROUND((O9/B9), 0)</f>
        <v>21</v>
      </c>
      <c r="F9" s="13">
        <f>ROUND((O9/D9), 0)</f>
        <v>19</v>
      </c>
      <c r="G9" s="54">
        <v>33</v>
      </c>
      <c r="H9" s="54">
        <v>0.75</v>
      </c>
      <c r="I9" s="54">
        <v>51</v>
      </c>
      <c r="J9" s="54">
        <v>150</v>
      </c>
      <c r="K9" s="65">
        <f>I9+J9</f>
        <v>201</v>
      </c>
      <c r="L9" s="54">
        <v>80.334000000000003</v>
      </c>
      <c r="M9" s="13">
        <f>I9+L9</f>
        <v>131.334</v>
      </c>
      <c r="N9" s="70">
        <v>42</v>
      </c>
      <c r="O9" s="54">
        <v>1399.277</v>
      </c>
      <c r="P9" s="133">
        <f t="shared" si="15"/>
        <v>9.3858471196196322E-2</v>
      </c>
      <c r="Q9" s="54">
        <v>119</v>
      </c>
      <c r="R9" s="54">
        <v>294</v>
      </c>
      <c r="S9" s="58">
        <v>24201393</v>
      </c>
      <c r="T9" s="68">
        <f>SUM(U9:V9)</f>
        <v>19283320</v>
      </c>
      <c r="U9" s="58">
        <v>14692133</v>
      </c>
      <c r="V9" s="58">
        <v>4591187</v>
      </c>
      <c r="W9" s="135">
        <f t="shared" si="16"/>
        <v>0.23809110671813774</v>
      </c>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row>
    <row r="10" spans="1:220">
      <c r="A10" s="15">
        <v>2015</v>
      </c>
      <c r="B10" s="70">
        <v>15</v>
      </c>
      <c r="C10" s="70">
        <v>12</v>
      </c>
      <c r="D10" s="65">
        <v>27</v>
      </c>
      <c r="E10" s="65">
        <v>96.3</v>
      </c>
      <c r="F10" s="65">
        <v>53.5</v>
      </c>
      <c r="G10" s="83"/>
      <c r="H10" s="83"/>
      <c r="I10" s="70">
        <v>63</v>
      </c>
      <c r="J10" s="70">
        <v>197</v>
      </c>
      <c r="K10" s="65">
        <v>260</v>
      </c>
      <c r="L10" s="70">
        <v>105</v>
      </c>
      <c r="M10" s="65">
        <v>168.33</v>
      </c>
      <c r="N10" s="70">
        <v>41</v>
      </c>
      <c r="O10" s="70">
        <v>1444.19</v>
      </c>
      <c r="P10" s="133">
        <f t="shared" si="15"/>
        <v>0.11655668575464448</v>
      </c>
      <c r="Q10" s="70">
        <v>150</v>
      </c>
      <c r="R10" s="70">
        <v>346</v>
      </c>
      <c r="S10" s="78">
        <v>25838638</v>
      </c>
      <c r="T10" s="79">
        <v>18841419</v>
      </c>
      <c r="U10" s="78">
        <v>13130230</v>
      </c>
      <c r="V10" s="78">
        <v>5711189</v>
      </c>
      <c r="W10" s="135">
        <f t="shared" si="16"/>
        <v>0.30311883621928898</v>
      </c>
    </row>
    <row r="11" spans="1:220">
      <c r="A11" s="15">
        <v>2014</v>
      </c>
      <c r="B11" s="70">
        <v>18</v>
      </c>
      <c r="C11" s="70">
        <v>22.92</v>
      </c>
      <c r="D11" s="65">
        <f>B11+C11</f>
        <v>40.92</v>
      </c>
      <c r="E11" s="13">
        <f t="shared" ref="E11:E23" si="17">ROUND((O11/B11), 0)</f>
        <v>81</v>
      </c>
      <c r="F11" s="13">
        <f t="shared" ref="F11:F23" si="18">ROUND((O11/D11), 0)</f>
        <v>36</v>
      </c>
      <c r="G11" s="83"/>
      <c r="H11" s="83"/>
      <c r="I11" s="70">
        <v>68</v>
      </c>
      <c r="J11" s="70">
        <v>264</v>
      </c>
      <c r="K11" s="65">
        <f>I11+J11</f>
        <v>332</v>
      </c>
      <c r="L11" s="70">
        <v>142.66999999999999</v>
      </c>
      <c r="M11" s="13">
        <f>I11+L11</f>
        <v>210.67</v>
      </c>
      <c r="N11" s="70">
        <v>50</v>
      </c>
      <c r="O11" s="70">
        <v>1463</v>
      </c>
      <c r="P11" s="133">
        <f t="shared" si="15"/>
        <v>0.14399863294600135</v>
      </c>
      <c r="Q11" s="70">
        <v>207</v>
      </c>
      <c r="R11" s="70">
        <v>337</v>
      </c>
      <c r="S11" s="71">
        <v>19142049</v>
      </c>
      <c r="T11" s="68">
        <f t="shared" ref="T11:T23" si="19">SUM(U11:V11)</f>
        <v>17314181</v>
      </c>
      <c r="U11" s="71">
        <v>12718298</v>
      </c>
      <c r="V11" s="71">
        <v>4595883</v>
      </c>
      <c r="W11" s="135">
        <f t="shared" si="16"/>
        <v>0.26544039247366075</v>
      </c>
    </row>
    <row r="12" spans="1:220">
      <c r="A12" s="15">
        <v>2013</v>
      </c>
      <c r="B12" s="528">
        <v>20</v>
      </c>
      <c r="C12" s="528">
        <v>16.079999999999998</v>
      </c>
      <c r="D12" s="23">
        <f>B12+C12</f>
        <v>36.08</v>
      </c>
      <c r="E12" s="82">
        <f t="shared" si="17"/>
        <v>74</v>
      </c>
      <c r="F12" s="82">
        <f t="shared" si="18"/>
        <v>41</v>
      </c>
      <c r="G12" s="85"/>
      <c r="H12" s="85"/>
      <c r="I12" s="528">
        <v>113</v>
      </c>
      <c r="J12" s="528">
        <v>305</v>
      </c>
      <c r="K12" s="23">
        <f>I12+J12</f>
        <v>418</v>
      </c>
      <c r="L12" s="528">
        <v>163</v>
      </c>
      <c r="M12" s="82">
        <f>I12+L12</f>
        <v>276</v>
      </c>
      <c r="N12" s="528">
        <v>44</v>
      </c>
      <c r="O12" s="528">
        <v>1481.91</v>
      </c>
      <c r="P12" s="133">
        <f t="shared" si="15"/>
        <v>0.18624612830738707</v>
      </c>
      <c r="Q12" s="528">
        <v>234</v>
      </c>
      <c r="R12" s="528">
        <v>154</v>
      </c>
      <c r="S12" s="84">
        <v>18134226</v>
      </c>
      <c r="T12" s="24">
        <f t="shared" si="19"/>
        <v>16298871</v>
      </c>
      <c r="U12" s="84">
        <v>12502055</v>
      </c>
      <c r="V12" s="84">
        <v>3796816</v>
      </c>
      <c r="W12" s="135">
        <f t="shared" si="16"/>
        <v>0.23294963191008752</v>
      </c>
    </row>
    <row r="13" spans="1:220">
      <c r="A13" s="15">
        <v>2012</v>
      </c>
      <c r="B13" s="528">
        <v>49</v>
      </c>
      <c r="C13" s="528">
        <v>4.7</v>
      </c>
      <c r="D13" s="23">
        <f>B13+C13</f>
        <v>53.7</v>
      </c>
      <c r="E13" s="82">
        <f t="shared" si="17"/>
        <v>11</v>
      </c>
      <c r="F13" s="82">
        <f t="shared" si="18"/>
        <v>10</v>
      </c>
      <c r="G13" s="85"/>
      <c r="H13" s="85"/>
      <c r="I13" s="528">
        <v>159</v>
      </c>
      <c r="J13" s="528">
        <v>376</v>
      </c>
      <c r="K13" s="23">
        <f>I13+J13</f>
        <v>535</v>
      </c>
      <c r="L13" s="528">
        <v>201.39999999999998</v>
      </c>
      <c r="M13" s="82">
        <f>I13+L13</f>
        <v>360.4</v>
      </c>
      <c r="N13" s="528">
        <v>58</v>
      </c>
      <c r="O13" s="528">
        <v>524.4</v>
      </c>
      <c r="P13" s="133">
        <f t="shared" si="15"/>
        <v>0.68726163234172388</v>
      </c>
      <c r="Q13" s="528">
        <v>282</v>
      </c>
      <c r="R13" s="528">
        <v>148</v>
      </c>
      <c r="S13" s="84">
        <v>14841530</v>
      </c>
      <c r="T13" s="24">
        <f t="shared" si="19"/>
        <v>14493241</v>
      </c>
      <c r="U13" s="84">
        <v>12498486</v>
      </c>
      <c r="V13" s="84">
        <v>1994755</v>
      </c>
      <c r="W13" s="135">
        <f t="shared" si="16"/>
        <v>0.13763346652415426</v>
      </c>
    </row>
    <row r="14" spans="1:220">
      <c r="A14" s="15" t="s">
        <v>26</v>
      </c>
      <c r="B14" s="528">
        <v>46</v>
      </c>
      <c r="C14" s="528">
        <v>4.25</v>
      </c>
      <c r="D14" s="23">
        <f t="shared" ref="D14:D23" si="20">SUM(B14:C14)</f>
        <v>50.25</v>
      </c>
      <c r="E14" s="82">
        <f t="shared" si="17"/>
        <v>18</v>
      </c>
      <c r="F14" s="82">
        <f t="shared" si="18"/>
        <v>17</v>
      </c>
      <c r="G14" s="85"/>
      <c r="H14" s="85"/>
      <c r="I14" s="528">
        <v>197</v>
      </c>
      <c r="J14" s="528">
        <v>426</v>
      </c>
      <c r="K14" s="23">
        <f t="shared" ref="K14:K23" si="21">SUM(I14:J14)</f>
        <v>623</v>
      </c>
      <c r="L14" s="528">
        <v>228.3</v>
      </c>
      <c r="M14" s="82">
        <f t="shared" ref="M14:M23" si="22">(I14+L14)</f>
        <v>425.3</v>
      </c>
      <c r="N14" s="528">
        <v>76</v>
      </c>
      <c r="O14" s="528">
        <v>841.7</v>
      </c>
      <c r="P14" s="133">
        <f t="shared" si="15"/>
        <v>0.50528691932992753</v>
      </c>
      <c r="Q14" s="528">
        <v>249</v>
      </c>
      <c r="R14" s="528">
        <v>147</v>
      </c>
      <c r="S14" s="84">
        <v>17871782</v>
      </c>
      <c r="T14" s="24">
        <f t="shared" si="19"/>
        <v>18207170</v>
      </c>
      <c r="U14" s="84">
        <v>12515066</v>
      </c>
      <c r="V14" s="84">
        <v>5692104</v>
      </c>
      <c r="W14" s="135">
        <f t="shared" si="16"/>
        <v>0.31262980463191148</v>
      </c>
    </row>
    <row r="15" spans="1:220">
      <c r="A15" s="15" t="s">
        <v>27</v>
      </c>
      <c r="B15" s="528">
        <v>45</v>
      </c>
      <c r="C15" s="528">
        <v>4.08</v>
      </c>
      <c r="D15" s="23">
        <f t="shared" si="20"/>
        <v>49.08</v>
      </c>
      <c r="E15" s="82">
        <f t="shared" si="17"/>
        <v>20</v>
      </c>
      <c r="F15" s="82">
        <f t="shared" si="18"/>
        <v>18</v>
      </c>
      <c r="G15" s="85"/>
      <c r="H15" s="85"/>
      <c r="I15" s="528">
        <v>214</v>
      </c>
      <c r="J15" s="528">
        <v>468</v>
      </c>
      <c r="K15" s="23">
        <f t="shared" si="21"/>
        <v>682</v>
      </c>
      <c r="L15" s="528">
        <v>267.3</v>
      </c>
      <c r="M15" s="82">
        <f t="shared" si="22"/>
        <v>481.3</v>
      </c>
      <c r="N15" s="528">
        <v>72</v>
      </c>
      <c r="O15" s="528">
        <v>894.8</v>
      </c>
      <c r="P15" s="133">
        <f t="shared" si="15"/>
        <v>0.53788556101922225</v>
      </c>
      <c r="Q15" s="528">
        <v>243</v>
      </c>
      <c r="R15" s="528">
        <v>145</v>
      </c>
      <c r="S15" s="84">
        <v>15082435.220000001</v>
      </c>
      <c r="T15" s="24">
        <f t="shared" si="19"/>
        <v>16339132</v>
      </c>
      <c r="U15" s="84">
        <v>11664083</v>
      </c>
      <c r="V15" s="84">
        <v>4675049</v>
      </c>
      <c r="W15" s="135">
        <f t="shared" si="16"/>
        <v>0.28612590925882719</v>
      </c>
    </row>
    <row r="16" spans="1:220">
      <c r="A16" s="15" t="s">
        <v>28</v>
      </c>
      <c r="B16" s="528">
        <v>39</v>
      </c>
      <c r="C16" s="528">
        <v>3.92</v>
      </c>
      <c r="D16" s="23">
        <f t="shared" si="20"/>
        <v>42.92</v>
      </c>
      <c r="E16" s="82">
        <f t="shared" si="17"/>
        <v>21</v>
      </c>
      <c r="F16" s="82">
        <f t="shared" si="18"/>
        <v>19</v>
      </c>
      <c r="G16" s="85"/>
      <c r="H16" s="85"/>
      <c r="I16" s="528">
        <v>213</v>
      </c>
      <c r="J16" s="528">
        <v>398</v>
      </c>
      <c r="K16" s="23">
        <f t="shared" si="21"/>
        <v>611</v>
      </c>
      <c r="L16" s="528">
        <v>204.8</v>
      </c>
      <c r="M16" s="82">
        <f t="shared" si="22"/>
        <v>417.8</v>
      </c>
      <c r="N16" s="528">
        <v>51</v>
      </c>
      <c r="O16" s="528">
        <v>832</v>
      </c>
      <c r="P16" s="133">
        <f t="shared" si="15"/>
        <v>0.50216346153846159</v>
      </c>
      <c r="Q16" s="528">
        <v>281</v>
      </c>
      <c r="R16" s="528">
        <v>143</v>
      </c>
      <c r="S16" s="84">
        <v>12822710.540000001</v>
      </c>
      <c r="T16" s="24">
        <f t="shared" si="19"/>
        <v>13955720</v>
      </c>
      <c r="U16" s="84">
        <v>7374542</v>
      </c>
      <c r="V16" s="84">
        <v>6581178</v>
      </c>
      <c r="W16" s="135">
        <f t="shared" si="16"/>
        <v>0.47157566933128497</v>
      </c>
    </row>
    <row r="17" spans="1:23">
      <c r="A17" s="15" t="s">
        <v>29</v>
      </c>
      <c r="B17" s="528">
        <v>38</v>
      </c>
      <c r="C17" s="528">
        <v>14.58</v>
      </c>
      <c r="D17" s="23">
        <f t="shared" si="20"/>
        <v>52.58</v>
      </c>
      <c r="E17" s="82">
        <f t="shared" si="17"/>
        <v>21</v>
      </c>
      <c r="F17" s="82">
        <f t="shared" si="18"/>
        <v>15</v>
      </c>
      <c r="G17" s="85"/>
      <c r="H17" s="85"/>
      <c r="I17" s="528">
        <v>175</v>
      </c>
      <c r="J17" s="528">
        <v>435</v>
      </c>
      <c r="K17" s="23">
        <f t="shared" si="21"/>
        <v>610</v>
      </c>
      <c r="L17" s="528">
        <v>224</v>
      </c>
      <c r="M17" s="82">
        <f t="shared" si="22"/>
        <v>399</v>
      </c>
      <c r="N17" s="528">
        <v>73</v>
      </c>
      <c r="O17" s="528">
        <v>780.54</v>
      </c>
      <c r="P17" s="133">
        <f t="shared" si="15"/>
        <v>0.51118456453224692</v>
      </c>
      <c r="Q17" s="528">
        <v>271</v>
      </c>
      <c r="R17" s="528">
        <v>167</v>
      </c>
      <c r="S17" s="84">
        <v>11169620</v>
      </c>
      <c r="T17" s="24">
        <f t="shared" si="19"/>
        <v>15700220</v>
      </c>
      <c r="U17" s="84">
        <v>6774844</v>
      </c>
      <c r="V17" s="84">
        <v>8925376</v>
      </c>
      <c r="W17" s="135">
        <f t="shared" si="16"/>
        <v>0.5684873205598393</v>
      </c>
    </row>
    <row r="18" spans="1:23">
      <c r="A18" s="15">
        <v>2007</v>
      </c>
      <c r="B18" s="528">
        <v>33</v>
      </c>
      <c r="C18" s="528">
        <v>17.75</v>
      </c>
      <c r="D18" s="23">
        <f t="shared" si="20"/>
        <v>50.75</v>
      </c>
      <c r="E18" s="82">
        <f t="shared" si="17"/>
        <v>26</v>
      </c>
      <c r="F18" s="82">
        <f t="shared" si="18"/>
        <v>17</v>
      </c>
      <c r="G18" s="85"/>
      <c r="H18" s="85"/>
      <c r="I18" s="528">
        <v>227</v>
      </c>
      <c r="J18" s="528">
        <v>566</v>
      </c>
      <c r="K18" s="23">
        <f t="shared" si="21"/>
        <v>793</v>
      </c>
      <c r="L18" s="528">
        <v>280.3</v>
      </c>
      <c r="M18" s="82">
        <f t="shared" si="22"/>
        <v>507.3</v>
      </c>
      <c r="N18" s="528">
        <v>100</v>
      </c>
      <c r="O18" s="528">
        <v>868</v>
      </c>
      <c r="P18" s="133">
        <f t="shared" si="15"/>
        <v>0.58444700460829491</v>
      </c>
      <c r="Q18" s="528">
        <v>230</v>
      </c>
      <c r="R18" s="528">
        <v>140</v>
      </c>
      <c r="S18" s="132">
        <v>11274981</v>
      </c>
      <c r="T18" s="24">
        <f t="shared" si="19"/>
        <v>14130351</v>
      </c>
      <c r="U18" s="132">
        <v>7221303</v>
      </c>
      <c r="V18" s="132">
        <v>6909048</v>
      </c>
      <c r="W18" s="135">
        <f t="shared" si="16"/>
        <v>0.48895091141048086</v>
      </c>
    </row>
    <row r="19" spans="1:23">
      <c r="A19" s="15">
        <v>2006</v>
      </c>
      <c r="B19" s="528">
        <v>32</v>
      </c>
      <c r="C19" s="528">
        <v>21</v>
      </c>
      <c r="D19" s="23">
        <f t="shared" si="20"/>
        <v>53</v>
      </c>
      <c r="E19" s="82">
        <f t="shared" si="17"/>
        <v>26</v>
      </c>
      <c r="F19" s="82">
        <f t="shared" si="18"/>
        <v>16</v>
      </c>
      <c r="G19" s="85"/>
      <c r="H19" s="85"/>
      <c r="I19" s="528">
        <v>155</v>
      </c>
      <c r="J19" s="528">
        <v>443</v>
      </c>
      <c r="K19" s="23">
        <f t="shared" si="21"/>
        <v>598</v>
      </c>
      <c r="L19" s="528">
        <v>219</v>
      </c>
      <c r="M19" s="82">
        <f t="shared" si="22"/>
        <v>374</v>
      </c>
      <c r="N19" s="528">
        <v>63</v>
      </c>
      <c r="O19" s="528">
        <v>844.33</v>
      </c>
      <c r="P19" s="133">
        <f t="shared" si="15"/>
        <v>0.44295476886999158</v>
      </c>
      <c r="Q19" s="528">
        <v>194</v>
      </c>
      <c r="R19" s="528">
        <v>180</v>
      </c>
      <c r="S19" s="132">
        <v>9627765</v>
      </c>
      <c r="T19" s="24">
        <f t="shared" si="19"/>
        <v>12336731</v>
      </c>
      <c r="U19" s="132">
        <v>6060052</v>
      </c>
      <c r="V19" s="132">
        <v>6276679</v>
      </c>
      <c r="W19" s="135">
        <f t="shared" si="16"/>
        <v>0.50877975697127542</v>
      </c>
    </row>
    <row r="20" spans="1:23">
      <c r="A20" s="15">
        <v>2005</v>
      </c>
      <c r="B20" s="528">
        <v>34</v>
      </c>
      <c r="C20" s="528">
        <v>27</v>
      </c>
      <c r="D20" s="23">
        <f t="shared" si="20"/>
        <v>61</v>
      </c>
      <c r="E20" s="82">
        <f t="shared" si="17"/>
        <v>27</v>
      </c>
      <c r="F20" s="82">
        <f t="shared" si="18"/>
        <v>15</v>
      </c>
      <c r="G20" s="85"/>
      <c r="H20" s="85"/>
      <c r="I20" s="528">
        <v>79</v>
      </c>
      <c r="J20" s="528">
        <v>345</v>
      </c>
      <c r="K20" s="23">
        <f t="shared" si="21"/>
        <v>424</v>
      </c>
      <c r="L20" s="528">
        <v>168</v>
      </c>
      <c r="M20" s="82">
        <f t="shared" si="22"/>
        <v>247</v>
      </c>
      <c r="N20" s="528">
        <v>48</v>
      </c>
      <c r="O20" s="528">
        <v>902</v>
      </c>
      <c r="P20" s="133">
        <f t="shared" si="15"/>
        <v>0.27383592017738362</v>
      </c>
      <c r="Q20" s="528">
        <v>95</v>
      </c>
      <c r="R20" s="528">
        <v>273</v>
      </c>
      <c r="S20" s="132">
        <v>8352448</v>
      </c>
      <c r="T20" s="24">
        <f t="shared" si="19"/>
        <v>10199004</v>
      </c>
      <c r="U20" s="132">
        <v>5655370</v>
      </c>
      <c r="V20" s="132">
        <v>4543634</v>
      </c>
      <c r="W20" s="135">
        <f t="shared" si="16"/>
        <v>0.44549781527686427</v>
      </c>
    </row>
    <row r="21" spans="1:23">
      <c r="A21" s="15">
        <v>2004</v>
      </c>
      <c r="B21" s="528">
        <v>33</v>
      </c>
      <c r="C21" s="528">
        <v>24</v>
      </c>
      <c r="D21" s="23">
        <f t="shared" si="20"/>
        <v>57</v>
      </c>
      <c r="E21" s="82">
        <f t="shared" si="17"/>
        <v>32</v>
      </c>
      <c r="F21" s="82">
        <f t="shared" si="18"/>
        <v>18</v>
      </c>
      <c r="G21" s="85"/>
      <c r="H21" s="85"/>
      <c r="I21" s="528">
        <v>54</v>
      </c>
      <c r="J21" s="528">
        <v>282</v>
      </c>
      <c r="K21" s="23">
        <f t="shared" si="21"/>
        <v>336</v>
      </c>
      <c r="L21" s="528">
        <v>181.5</v>
      </c>
      <c r="M21" s="82">
        <f t="shared" si="22"/>
        <v>235.5</v>
      </c>
      <c r="N21" s="528">
        <v>42</v>
      </c>
      <c r="O21" s="528">
        <v>1046.8</v>
      </c>
      <c r="P21" s="133">
        <f t="shared" si="15"/>
        <v>0.22497134123041651</v>
      </c>
      <c r="Q21" s="528">
        <v>62</v>
      </c>
      <c r="R21" s="528">
        <v>183</v>
      </c>
      <c r="S21" s="132">
        <v>7341290</v>
      </c>
      <c r="T21" s="24">
        <f t="shared" si="19"/>
        <v>8638369</v>
      </c>
      <c r="U21" s="132">
        <v>4798985</v>
      </c>
      <c r="V21" s="132">
        <v>3839384</v>
      </c>
      <c r="W21" s="135">
        <f t="shared" si="16"/>
        <v>0.44445704970463751</v>
      </c>
    </row>
    <row r="22" spans="1:23">
      <c r="A22" s="15">
        <v>2003</v>
      </c>
      <c r="B22" s="528">
        <v>27</v>
      </c>
      <c r="C22" s="528">
        <v>10</v>
      </c>
      <c r="D22" s="23">
        <f t="shared" si="20"/>
        <v>37</v>
      </c>
      <c r="E22" s="82">
        <f t="shared" si="17"/>
        <v>41</v>
      </c>
      <c r="F22" s="82">
        <f t="shared" si="18"/>
        <v>30</v>
      </c>
      <c r="G22" s="85"/>
      <c r="H22" s="85"/>
      <c r="I22" s="528">
        <v>42</v>
      </c>
      <c r="J22" s="528">
        <v>213</v>
      </c>
      <c r="K22" s="23">
        <f t="shared" si="21"/>
        <v>255</v>
      </c>
      <c r="L22" s="528">
        <v>128</v>
      </c>
      <c r="M22" s="82">
        <f t="shared" si="22"/>
        <v>170</v>
      </c>
      <c r="N22" s="528">
        <v>21</v>
      </c>
      <c r="O22" s="528">
        <v>1101</v>
      </c>
      <c r="P22" s="133">
        <f t="shared" si="15"/>
        <v>0.15440508628519528</v>
      </c>
      <c r="Q22" s="528">
        <v>72</v>
      </c>
      <c r="R22" s="528">
        <v>303</v>
      </c>
      <c r="S22" s="132">
        <v>6595800</v>
      </c>
      <c r="T22" s="24">
        <f t="shared" si="19"/>
        <v>7196625</v>
      </c>
      <c r="U22" s="132">
        <v>4664090</v>
      </c>
      <c r="V22" s="132">
        <v>2532535</v>
      </c>
      <c r="W22" s="135">
        <f t="shared" si="16"/>
        <v>0.35190592812603128</v>
      </c>
    </row>
    <row r="23" spans="1:23">
      <c r="A23" s="15">
        <v>2002</v>
      </c>
      <c r="B23" s="528">
        <v>28</v>
      </c>
      <c r="C23" s="528">
        <v>8</v>
      </c>
      <c r="D23" s="23">
        <f t="shared" si="20"/>
        <v>36</v>
      </c>
      <c r="E23" s="82">
        <f t="shared" si="17"/>
        <v>43</v>
      </c>
      <c r="F23" s="82">
        <f t="shared" si="18"/>
        <v>33</v>
      </c>
      <c r="G23" s="85"/>
      <c r="H23" s="85"/>
      <c r="I23" s="528">
        <v>32</v>
      </c>
      <c r="J23" s="528">
        <v>177</v>
      </c>
      <c r="K23" s="23">
        <f t="shared" si="21"/>
        <v>209</v>
      </c>
      <c r="L23" s="528">
        <f>ROUND(110, 0)</f>
        <v>110</v>
      </c>
      <c r="M23" s="82">
        <f t="shared" si="22"/>
        <v>142</v>
      </c>
      <c r="N23" s="528">
        <v>20</v>
      </c>
      <c r="O23" s="528">
        <f>ROUND(1194.86, 0)</f>
        <v>1195</v>
      </c>
      <c r="P23" s="133">
        <f t="shared" si="15"/>
        <v>0.11882845188284519</v>
      </c>
      <c r="Q23" s="528">
        <v>54</v>
      </c>
      <c r="R23" s="528">
        <v>258</v>
      </c>
      <c r="S23" s="132">
        <v>6764921</v>
      </c>
      <c r="T23" s="24">
        <f t="shared" si="19"/>
        <v>6975301</v>
      </c>
      <c r="U23" s="132">
        <v>4453200</v>
      </c>
      <c r="V23" s="132">
        <v>2522101</v>
      </c>
      <c r="W23" s="135">
        <f t="shared" si="16"/>
        <v>0.36157593772655833</v>
      </c>
    </row>
    <row r="24" spans="1:23">
      <c r="A24" s="550" t="s">
        <v>72</v>
      </c>
      <c r="B24" s="550"/>
      <c r="C24" s="550"/>
      <c r="D24" s="550"/>
      <c r="E24" s="550"/>
      <c r="F24" s="550"/>
      <c r="G24" s="550"/>
      <c r="H24" s="550"/>
      <c r="I24" s="550"/>
      <c r="J24" s="550"/>
      <c r="K24" s="550"/>
      <c r="L24" s="550"/>
      <c r="M24" s="550"/>
      <c r="N24" s="550"/>
      <c r="O24" s="550"/>
      <c r="P24" s="550"/>
      <c r="Q24" s="550"/>
      <c r="R24" s="550"/>
      <c r="S24" s="550"/>
      <c r="T24" s="550"/>
      <c r="U24" s="538"/>
      <c r="V24" s="538"/>
      <c r="W24" s="538"/>
    </row>
    <row r="25" spans="1:23">
      <c r="A25" s="537" t="s">
        <v>73</v>
      </c>
      <c r="B25" s="538"/>
      <c r="C25" s="538"/>
      <c r="D25" s="538"/>
      <c r="E25" s="538"/>
      <c r="F25" s="538"/>
      <c r="G25" s="538"/>
      <c r="H25" s="538"/>
      <c r="I25" s="538"/>
      <c r="J25" s="538"/>
      <c r="K25" s="538"/>
      <c r="L25" s="538"/>
      <c r="M25" s="538"/>
      <c r="N25" s="538"/>
      <c r="O25" s="538"/>
      <c r="P25" s="538"/>
      <c r="Q25" s="538"/>
      <c r="R25" s="538"/>
      <c r="S25" s="538"/>
      <c r="T25" s="538"/>
      <c r="U25" s="538"/>
      <c r="V25" s="538"/>
      <c r="W25" s="538"/>
    </row>
    <row r="26" spans="1:23" ht="30.75" customHeight="1">
      <c r="A26" s="546" t="s">
        <v>74</v>
      </c>
      <c r="B26" s="551"/>
      <c r="C26" s="551"/>
      <c r="D26" s="551"/>
      <c r="E26" s="551"/>
      <c r="F26" s="551"/>
      <c r="G26" s="551"/>
      <c r="H26" s="551"/>
      <c r="I26" s="551"/>
      <c r="J26" s="551"/>
      <c r="K26" s="551"/>
      <c r="L26" s="551"/>
      <c r="M26" s="551"/>
      <c r="N26" s="551"/>
      <c r="O26" s="551"/>
      <c r="P26" s="551"/>
      <c r="Q26" s="551"/>
      <c r="R26" s="551"/>
      <c r="S26" s="551"/>
      <c r="T26" s="551"/>
      <c r="U26" s="538"/>
      <c r="V26" s="538"/>
      <c r="W26" s="538"/>
    </row>
    <row r="27" spans="1:23">
      <c r="A27" s="550" t="s">
        <v>75</v>
      </c>
      <c r="B27" s="546"/>
      <c r="C27" s="546"/>
      <c r="D27" s="546"/>
      <c r="E27" s="546"/>
      <c r="F27" s="546"/>
      <c r="G27" s="546"/>
      <c r="H27" s="546"/>
      <c r="I27" s="546"/>
      <c r="J27" s="546"/>
      <c r="K27" s="546"/>
      <c r="L27" s="546"/>
      <c r="M27" s="546"/>
      <c r="N27" s="546"/>
      <c r="O27" s="546"/>
      <c r="P27" s="546"/>
      <c r="Q27" s="538"/>
      <c r="R27" s="538"/>
      <c r="S27" s="538"/>
      <c r="T27" s="538"/>
      <c r="U27" s="538"/>
      <c r="V27" s="538"/>
      <c r="W27" s="538"/>
    </row>
    <row r="28" spans="1:23" s="12" customFormat="1">
      <c r="G28"/>
      <c r="H28"/>
    </row>
    <row r="29" spans="1:23" s="12" customFormat="1">
      <c r="G29"/>
      <c r="H29"/>
    </row>
    <row r="30" spans="1:23" s="12" customFormat="1">
      <c r="G30"/>
      <c r="H30"/>
    </row>
    <row r="31" spans="1:23" s="12" customFormat="1">
      <c r="G31"/>
      <c r="H31"/>
    </row>
    <row r="32" spans="1:23" s="12" customFormat="1">
      <c r="G32"/>
      <c r="H32"/>
    </row>
    <row r="33" spans="7:8" s="12" customFormat="1">
      <c r="G33"/>
      <c r="H33"/>
    </row>
    <row r="34" spans="7:8" s="12" customFormat="1">
      <c r="G34"/>
      <c r="H34"/>
    </row>
    <row r="35" spans="7:8" s="12" customFormat="1">
      <c r="G35"/>
      <c r="H35"/>
    </row>
    <row r="36" spans="7:8" s="12" customFormat="1">
      <c r="G36"/>
      <c r="H36"/>
    </row>
    <row r="37" spans="7:8" s="12" customFormat="1">
      <c r="G37"/>
      <c r="H37"/>
    </row>
    <row r="38" spans="7:8" s="12" customFormat="1">
      <c r="G38"/>
      <c r="H38"/>
    </row>
  </sheetData>
  <mergeCells count="4">
    <mergeCell ref="A24:W24"/>
    <mergeCell ref="A25:W25"/>
    <mergeCell ref="A26:W26"/>
    <mergeCell ref="A27:W27"/>
  </mergeCells>
  <printOptions headings="1" gridLines="1"/>
  <pageMargins left="0.5" right="0.5" top="0.5" bottom="0.5" header="0" footer="0"/>
  <pageSetup paperSize="5" scale="66" orientation="landscape" r:id="rId1"/>
  <legacyDrawing r:id="rId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L35"/>
  <sheetViews>
    <sheetView topLeftCell="I1" workbookViewId="0">
      <selection activeCell="G23" sqref="G23"/>
    </sheetView>
  </sheetViews>
  <sheetFormatPr defaultColWidth="8.85546875" defaultRowHeight="15"/>
  <cols>
    <col min="1" max="1" width="11.8554687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3.28515625"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0.85546875" bestFit="1" customWidth="1"/>
    <col min="23" max="23" width="12.85546875" bestFit="1" customWidth="1"/>
  </cols>
  <sheetData>
    <row r="1" spans="1:220" s="1" customFormat="1" ht="18.75">
      <c r="A1" s="1" t="s">
        <v>76</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row>
    <row r="2" spans="1:220" s="3"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row>
    <row r="3" spans="1:220">
      <c r="A3" s="105">
        <v>2022</v>
      </c>
      <c r="B3" s="17">
        <v>6</v>
      </c>
      <c r="C3" s="17">
        <v>5</v>
      </c>
      <c r="D3" s="23">
        <f>SUM((B3:C3))</f>
        <v>11</v>
      </c>
      <c r="E3" s="13">
        <f t="shared" ref="E3" si="0">ROUND((O3/B3), 0)</f>
        <v>22</v>
      </c>
      <c r="F3" s="13">
        <f t="shared" ref="F3" si="1">ROUND((O3/D3), 0)</f>
        <v>12</v>
      </c>
      <c r="G3" s="66">
        <v>6</v>
      </c>
      <c r="H3" s="66">
        <v>5</v>
      </c>
      <c r="I3" s="66">
        <v>15</v>
      </c>
      <c r="J3" s="66">
        <v>216</v>
      </c>
      <c r="K3" s="23">
        <f>SUM((I3:J3))</f>
        <v>231</v>
      </c>
      <c r="L3" s="66">
        <f>9.36+107.48</f>
        <v>116.84</v>
      </c>
      <c r="M3" s="82">
        <f>SUM((I3+L3))</f>
        <v>131.84</v>
      </c>
      <c r="N3" s="66">
        <f>2+4+3+13+7+11</f>
        <v>40</v>
      </c>
      <c r="O3" s="17">
        <f>L3+I3</f>
        <v>131.84</v>
      </c>
      <c r="P3" s="134">
        <v>1</v>
      </c>
      <c r="Q3" s="17">
        <f>2+1+4+58+2</f>
        <v>67</v>
      </c>
      <c r="R3" s="17">
        <v>0</v>
      </c>
      <c r="S3" s="20">
        <v>896304</v>
      </c>
      <c r="T3" s="24">
        <f t="shared" ref="T3" si="2">SUM(U3:V3)</f>
        <v>1193364</v>
      </c>
      <c r="U3" s="20">
        <v>1193364</v>
      </c>
      <c r="V3" s="352">
        <v>0</v>
      </c>
      <c r="W3" s="135">
        <f t="shared" ref="W3" si="3">V3/T3</f>
        <v>0</v>
      </c>
    </row>
    <row r="4" spans="1:220">
      <c r="A4" s="105">
        <v>2021</v>
      </c>
      <c r="B4" s="17">
        <v>7</v>
      </c>
      <c r="C4" s="17">
        <v>1.75</v>
      </c>
      <c r="D4" s="23">
        <f>SUM((B4:C4))</f>
        <v>8.75</v>
      </c>
      <c r="E4" s="13">
        <v>17</v>
      </c>
      <c r="F4" s="13">
        <v>14</v>
      </c>
      <c r="G4" s="66">
        <v>7</v>
      </c>
      <c r="H4" s="66">
        <v>1.75</v>
      </c>
      <c r="I4" s="66">
        <v>14</v>
      </c>
      <c r="J4" s="66">
        <v>195</v>
      </c>
      <c r="K4" s="23">
        <f>SUM((I4:J4))</f>
        <v>209</v>
      </c>
      <c r="L4" s="66">
        <v>104.81</v>
      </c>
      <c r="M4" s="82">
        <f>SUM((I4+L4))</f>
        <v>118.81</v>
      </c>
      <c r="N4" s="66">
        <v>21</v>
      </c>
      <c r="O4" s="17">
        <v>118.81</v>
      </c>
      <c r="P4" s="134">
        <v>1</v>
      </c>
      <c r="Q4" s="17">
        <v>74</v>
      </c>
      <c r="R4" s="17">
        <v>0</v>
      </c>
      <c r="S4" s="20">
        <v>968975</v>
      </c>
      <c r="T4" s="24">
        <v>1192000</v>
      </c>
      <c r="U4" s="20">
        <v>1192000</v>
      </c>
      <c r="V4" s="352">
        <v>0</v>
      </c>
      <c r="W4" s="135">
        <v>0</v>
      </c>
    </row>
    <row r="5" spans="1:220">
      <c r="A5" s="105">
        <v>2020</v>
      </c>
      <c r="B5" s="17">
        <v>8</v>
      </c>
      <c r="C5" s="17">
        <v>2</v>
      </c>
      <c r="D5" s="23">
        <f>SUM(B5:C5)</f>
        <v>10</v>
      </c>
      <c r="E5" s="13">
        <f>ROUND((O5/B5), 0)</f>
        <v>16</v>
      </c>
      <c r="F5" s="13">
        <f>ROUND((O5/D5), 0)</f>
        <v>12</v>
      </c>
      <c r="G5" s="66">
        <v>8</v>
      </c>
      <c r="H5" s="66">
        <v>2</v>
      </c>
      <c r="I5" s="66">
        <v>19</v>
      </c>
      <c r="J5" s="66">
        <v>187</v>
      </c>
      <c r="K5" s="23">
        <f t="shared" ref="K5" si="4">SUM(I5:J5)</f>
        <v>206</v>
      </c>
      <c r="L5" s="66">
        <v>105.91</v>
      </c>
      <c r="M5" s="82">
        <f>(I5+L5)</f>
        <v>124.91</v>
      </c>
      <c r="N5" s="66">
        <v>25</v>
      </c>
      <c r="O5" s="17">
        <v>124.91</v>
      </c>
      <c r="P5" s="134">
        <f t="shared" ref="P5" si="5">M5/O5</f>
        <v>1</v>
      </c>
      <c r="Q5" s="17">
        <v>79</v>
      </c>
      <c r="R5" s="17">
        <v>0</v>
      </c>
      <c r="S5" s="20">
        <v>637951.02</v>
      </c>
      <c r="T5" s="24">
        <f>SUM(U5:V5)</f>
        <v>1267800</v>
      </c>
      <c r="U5" s="20">
        <v>998800</v>
      </c>
      <c r="V5" s="352">
        <v>269000</v>
      </c>
      <c r="W5" s="135">
        <f t="shared" ref="W5" si="6">V5/T5</f>
        <v>0.21217857706262819</v>
      </c>
    </row>
    <row r="6" spans="1:220">
      <c r="A6" s="105">
        <v>2019</v>
      </c>
      <c r="B6" s="54">
        <v>9</v>
      </c>
      <c r="C6" s="54">
        <v>2.0249999999999999</v>
      </c>
      <c r="D6" s="65">
        <f>SUM(B6:C6)</f>
        <v>11.025</v>
      </c>
      <c r="E6" s="13">
        <f>ROUND((O6/B6), 0)</f>
        <v>15</v>
      </c>
      <c r="F6" s="13">
        <f>ROUND((O6/D6), 0)</f>
        <v>13</v>
      </c>
      <c r="G6" s="54">
        <v>10</v>
      </c>
      <c r="H6" s="54">
        <v>6</v>
      </c>
      <c r="I6" s="54">
        <v>16</v>
      </c>
      <c r="J6" s="54">
        <v>213</v>
      </c>
      <c r="K6" s="65">
        <f>SUM(I6:J6)</f>
        <v>229</v>
      </c>
      <c r="L6" s="54">
        <v>122</v>
      </c>
      <c r="M6" s="82">
        <f>(I6+L6)</f>
        <v>138</v>
      </c>
      <c r="N6" s="54">
        <v>36</v>
      </c>
      <c r="O6" s="54">
        <v>138</v>
      </c>
      <c r="P6" s="133">
        <f>M6/O6</f>
        <v>1</v>
      </c>
      <c r="Q6" s="54">
        <v>65</v>
      </c>
      <c r="R6" s="54">
        <v>0</v>
      </c>
      <c r="S6" s="61">
        <v>1006081</v>
      </c>
      <c r="T6" s="24">
        <f>SUM(U6:V6)</f>
        <v>1268409</v>
      </c>
      <c r="U6" s="61">
        <v>998800</v>
      </c>
      <c r="V6" s="61">
        <v>269609</v>
      </c>
      <c r="W6" s="135">
        <f>V6/T6</f>
        <v>0.21255683300891115</v>
      </c>
    </row>
    <row r="7" spans="1:220" s="14" customFormat="1">
      <c r="A7" s="10">
        <v>2018</v>
      </c>
      <c r="B7" s="17">
        <v>8</v>
      </c>
      <c r="C7" s="17">
        <v>2.0249999999999999</v>
      </c>
      <c r="D7" s="23">
        <f>SUM(B7:C7)</f>
        <v>10.025</v>
      </c>
      <c r="E7" s="82">
        <f>ROUND((O7/B7), 0)</f>
        <v>23</v>
      </c>
      <c r="F7" s="82">
        <f>ROUND((O7/D7), 0)</f>
        <v>18</v>
      </c>
      <c r="G7" s="17">
        <v>8</v>
      </c>
      <c r="H7" s="17">
        <v>2.0249999999999999</v>
      </c>
      <c r="I7" s="17">
        <v>29</v>
      </c>
      <c r="J7" s="17">
        <v>231</v>
      </c>
      <c r="K7" s="23">
        <f>SUM(I7:J7)</f>
        <v>260</v>
      </c>
      <c r="L7" s="17">
        <v>154</v>
      </c>
      <c r="M7" s="82">
        <f>(I7+L7)</f>
        <v>183</v>
      </c>
      <c r="N7" s="17">
        <v>36</v>
      </c>
      <c r="O7" s="17">
        <v>183</v>
      </c>
      <c r="P7" s="133">
        <f>M7/O7</f>
        <v>1</v>
      </c>
      <c r="Q7" s="17">
        <v>70</v>
      </c>
      <c r="R7" s="17">
        <v>0</v>
      </c>
      <c r="S7" s="20">
        <v>1010436</v>
      </c>
      <c r="T7" s="24">
        <f>SUM(U7:V7)</f>
        <v>1325597</v>
      </c>
      <c r="U7" s="20">
        <v>1010436</v>
      </c>
      <c r="V7" s="20">
        <v>315161</v>
      </c>
      <c r="W7" s="135">
        <f>V7/T7</f>
        <v>0.23775023630862169</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9</v>
      </c>
      <c r="C8" s="17">
        <v>4.75</v>
      </c>
      <c r="D8" s="27">
        <f>SUM(B8:C8)</f>
        <v>13.75</v>
      </c>
      <c r="E8" s="27">
        <f>ROUND((O8/B8), 0)</f>
        <v>12</v>
      </c>
      <c r="F8" s="27">
        <f>ROUND((O8/D8), 0)</f>
        <v>8</v>
      </c>
      <c r="G8" s="17">
        <v>9</v>
      </c>
      <c r="H8" s="17">
        <v>6</v>
      </c>
      <c r="I8" s="17">
        <v>27</v>
      </c>
      <c r="J8" s="17">
        <v>228</v>
      </c>
      <c r="K8" s="27">
        <f>SUM(I8:J8)</f>
        <v>255</v>
      </c>
      <c r="L8" s="17">
        <f>J8*0.36</f>
        <v>82.08</v>
      </c>
      <c r="M8" s="29">
        <f>(I8+L8)</f>
        <v>109.08</v>
      </c>
      <c r="N8" s="255">
        <v>54</v>
      </c>
      <c r="O8" s="255">
        <f>M8</f>
        <v>109.08</v>
      </c>
      <c r="P8" s="133">
        <f t="shared" ref="P8:P19" si="7">M8/O8</f>
        <v>1</v>
      </c>
      <c r="Q8" s="17">
        <v>83</v>
      </c>
      <c r="R8" s="17">
        <v>0</v>
      </c>
      <c r="S8" s="252">
        <v>1020769</v>
      </c>
      <c r="T8" s="28">
        <f>SUM(U8:V8)</f>
        <v>1284737</v>
      </c>
      <c r="U8" s="252">
        <v>1020769</v>
      </c>
      <c r="V8" s="20">
        <v>263968</v>
      </c>
      <c r="W8" s="135">
        <f t="shared" ref="W8:W19" si="8">V8/T8</f>
        <v>0.20546462038533958</v>
      </c>
    </row>
    <row r="9" spans="1:220" s="3" customFormat="1">
      <c r="A9" s="10">
        <v>2016</v>
      </c>
      <c r="B9" s="54">
        <v>8</v>
      </c>
      <c r="C9" s="54">
        <v>2.5</v>
      </c>
      <c r="D9" s="65">
        <f>SUM(B9:C9)</f>
        <v>10.5</v>
      </c>
      <c r="E9" s="13">
        <f>ROUND((O9/B9), 0)</f>
        <v>21</v>
      </c>
      <c r="F9" s="13">
        <f>ROUND((O9/D9), 0)</f>
        <v>16</v>
      </c>
      <c r="G9" s="66">
        <v>8</v>
      </c>
      <c r="H9" s="66">
        <v>2.5</v>
      </c>
      <c r="I9" s="54">
        <v>21</v>
      </c>
      <c r="J9" s="54">
        <v>253</v>
      </c>
      <c r="K9" s="65">
        <f>SUM(I9:J9)</f>
        <v>274</v>
      </c>
      <c r="L9" s="54">
        <v>147</v>
      </c>
      <c r="M9" s="13">
        <f>(I9+L9)</f>
        <v>168</v>
      </c>
      <c r="N9" s="54">
        <v>36</v>
      </c>
      <c r="O9" s="54">
        <v>168</v>
      </c>
      <c r="P9" s="133">
        <f t="shared" si="7"/>
        <v>1</v>
      </c>
      <c r="Q9" s="54">
        <v>62</v>
      </c>
      <c r="R9" s="54">
        <v>0</v>
      </c>
      <c r="S9" s="58">
        <v>919575</v>
      </c>
      <c r="T9" s="68">
        <f>SUM(U9:V9)</f>
        <v>1210663</v>
      </c>
      <c r="U9" s="58">
        <v>1196063</v>
      </c>
      <c r="V9" s="58">
        <v>14600</v>
      </c>
      <c r="W9" s="135">
        <f t="shared" si="8"/>
        <v>1.2059507889478739E-2</v>
      </c>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row>
    <row r="10" spans="1:220" s="6" customFormat="1">
      <c r="A10" s="10">
        <v>2015</v>
      </c>
      <c r="B10" s="54">
        <v>8</v>
      </c>
      <c r="C10" s="54">
        <v>2.25</v>
      </c>
      <c r="D10" s="19">
        <v>10.25</v>
      </c>
      <c r="E10" s="19">
        <v>17.399999999999999</v>
      </c>
      <c r="F10" s="19">
        <v>13.58</v>
      </c>
      <c r="G10" s="83"/>
      <c r="H10" s="83"/>
      <c r="I10" s="54">
        <v>16</v>
      </c>
      <c r="J10" s="54">
        <v>211</v>
      </c>
      <c r="K10" s="19">
        <v>227</v>
      </c>
      <c r="L10" s="54">
        <v>123.25</v>
      </c>
      <c r="M10" s="19">
        <v>139.25</v>
      </c>
      <c r="N10" s="54">
        <v>39</v>
      </c>
      <c r="O10" s="54">
        <v>139.25</v>
      </c>
      <c r="P10" s="133">
        <f t="shared" si="7"/>
        <v>1</v>
      </c>
      <c r="Q10" s="54">
        <v>60</v>
      </c>
      <c r="R10" s="54">
        <v>0</v>
      </c>
      <c r="S10" s="58">
        <v>734688</v>
      </c>
      <c r="T10" s="69">
        <v>798277</v>
      </c>
      <c r="U10" s="58">
        <v>734768</v>
      </c>
      <c r="V10" s="58">
        <v>63509</v>
      </c>
      <c r="W10" s="135">
        <f t="shared" si="8"/>
        <v>7.9557597174915479E-2</v>
      </c>
    </row>
    <row r="11" spans="1:220">
      <c r="A11" s="15">
        <v>2014</v>
      </c>
      <c r="B11" s="70">
        <v>8</v>
      </c>
      <c r="C11" s="70">
        <v>0</v>
      </c>
      <c r="D11" s="65">
        <f t="shared" ref="D11:D19" si="9">SUM(B11:C11)</f>
        <v>8</v>
      </c>
      <c r="E11" s="13">
        <f t="shared" ref="E11:E19" si="10">ROUND((O11/B11), 0)</f>
        <v>13</v>
      </c>
      <c r="F11" s="13">
        <f t="shared" ref="F11:F19" si="11">ROUND((O11/D11), 0)</f>
        <v>13</v>
      </c>
      <c r="G11" s="83"/>
      <c r="H11" s="83"/>
      <c r="I11" s="70">
        <v>6</v>
      </c>
      <c r="J11" s="70">
        <v>187</v>
      </c>
      <c r="K11" s="65">
        <f t="shared" ref="K11:K19" si="12">SUM(I11:J11)</f>
        <v>193</v>
      </c>
      <c r="L11" s="70">
        <v>93.5</v>
      </c>
      <c r="M11" s="13">
        <f t="shared" ref="M11:M19" si="13">(I11+L11)</f>
        <v>99.5</v>
      </c>
      <c r="N11" s="70">
        <v>29</v>
      </c>
      <c r="O11" s="70">
        <v>100</v>
      </c>
      <c r="P11" s="133">
        <f t="shared" si="7"/>
        <v>0.995</v>
      </c>
      <c r="Q11" s="70">
        <v>64</v>
      </c>
      <c r="R11" s="70">
        <v>0</v>
      </c>
      <c r="S11" s="71">
        <v>903499</v>
      </c>
      <c r="T11" s="68">
        <f t="shared" ref="T11:T19" si="14">SUM(U11:V11)</f>
        <v>1118752</v>
      </c>
      <c r="U11" s="71">
        <v>938819</v>
      </c>
      <c r="V11" s="71">
        <v>179933</v>
      </c>
      <c r="W11" s="135">
        <f t="shared" si="8"/>
        <v>0.1608336789565516</v>
      </c>
    </row>
    <row r="12" spans="1:220">
      <c r="A12" s="15">
        <v>2013</v>
      </c>
      <c r="B12" s="528">
        <v>8</v>
      </c>
      <c r="C12" s="528">
        <v>0</v>
      </c>
      <c r="D12" s="23">
        <f t="shared" si="9"/>
        <v>8</v>
      </c>
      <c r="E12" s="82">
        <f t="shared" si="10"/>
        <v>15</v>
      </c>
      <c r="F12" s="82">
        <f t="shared" si="11"/>
        <v>15</v>
      </c>
      <c r="G12" s="85"/>
      <c r="H12" s="85"/>
      <c r="I12" s="528">
        <v>0</v>
      </c>
      <c r="J12" s="528">
        <v>174</v>
      </c>
      <c r="K12" s="23">
        <f t="shared" si="12"/>
        <v>174</v>
      </c>
      <c r="L12" s="528">
        <v>116.58</v>
      </c>
      <c r="M12" s="82">
        <f t="shared" si="13"/>
        <v>116.58</v>
      </c>
      <c r="N12" s="528">
        <v>18</v>
      </c>
      <c r="O12" s="528">
        <v>116.58</v>
      </c>
      <c r="P12" s="133">
        <f t="shared" si="7"/>
        <v>1</v>
      </c>
      <c r="Q12" s="528">
        <v>61</v>
      </c>
      <c r="R12" s="528">
        <v>0</v>
      </c>
      <c r="S12" s="84">
        <v>672126</v>
      </c>
      <c r="T12" s="24">
        <f t="shared" si="14"/>
        <v>867236</v>
      </c>
      <c r="U12" s="84">
        <v>854686</v>
      </c>
      <c r="V12" s="84">
        <v>12550</v>
      </c>
      <c r="W12" s="135">
        <f t="shared" si="8"/>
        <v>1.4471262724333399E-2</v>
      </c>
    </row>
    <row r="13" spans="1:220">
      <c r="A13" s="15">
        <v>2012</v>
      </c>
      <c r="B13" s="528">
        <v>9</v>
      </c>
      <c r="C13" s="528">
        <v>1.25</v>
      </c>
      <c r="D13" s="23">
        <f t="shared" si="9"/>
        <v>10.25</v>
      </c>
      <c r="E13" s="82">
        <f t="shared" si="10"/>
        <v>14</v>
      </c>
      <c r="F13" s="82">
        <f t="shared" si="11"/>
        <v>12</v>
      </c>
      <c r="G13" s="85"/>
      <c r="H13" s="85"/>
      <c r="I13" s="528">
        <v>0</v>
      </c>
      <c r="J13" s="528">
        <v>191</v>
      </c>
      <c r="K13" s="23">
        <f t="shared" si="12"/>
        <v>191</v>
      </c>
      <c r="L13" s="528">
        <v>124</v>
      </c>
      <c r="M13" s="82">
        <f t="shared" si="13"/>
        <v>124</v>
      </c>
      <c r="N13" s="528">
        <v>7</v>
      </c>
      <c r="O13" s="528">
        <v>124</v>
      </c>
      <c r="P13" s="133">
        <f t="shared" si="7"/>
        <v>1</v>
      </c>
      <c r="Q13" s="528">
        <v>82</v>
      </c>
      <c r="R13" s="528">
        <v>0</v>
      </c>
      <c r="S13" s="84">
        <v>1059526</v>
      </c>
      <c r="T13" s="24">
        <f t="shared" si="14"/>
        <v>1041526</v>
      </c>
      <c r="U13" s="84">
        <v>1041526</v>
      </c>
      <c r="V13" s="84">
        <v>0</v>
      </c>
      <c r="W13" s="135">
        <f t="shared" si="8"/>
        <v>0</v>
      </c>
    </row>
    <row r="14" spans="1:220">
      <c r="A14" s="15">
        <v>2011</v>
      </c>
      <c r="B14" s="528">
        <v>9</v>
      </c>
      <c r="C14" s="528">
        <v>1.25</v>
      </c>
      <c r="D14" s="23">
        <f t="shared" si="9"/>
        <v>10.25</v>
      </c>
      <c r="E14" s="82">
        <f t="shared" si="10"/>
        <v>24</v>
      </c>
      <c r="F14" s="82">
        <f t="shared" si="11"/>
        <v>21</v>
      </c>
      <c r="G14" s="85"/>
      <c r="H14" s="85"/>
      <c r="I14" s="528">
        <v>24</v>
      </c>
      <c r="J14" s="528">
        <v>182</v>
      </c>
      <c r="K14" s="23">
        <f t="shared" si="12"/>
        <v>206</v>
      </c>
      <c r="L14" s="528">
        <v>88</v>
      </c>
      <c r="M14" s="82">
        <f t="shared" si="13"/>
        <v>112</v>
      </c>
      <c r="N14" s="528">
        <v>7</v>
      </c>
      <c r="O14" s="528">
        <v>211.75</v>
      </c>
      <c r="P14" s="133">
        <f t="shared" si="7"/>
        <v>0.52892561983471076</v>
      </c>
      <c r="Q14" s="528">
        <v>103</v>
      </c>
      <c r="R14" s="528">
        <v>0</v>
      </c>
      <c r="S14" s="84">
        <v>1142913</v>
      </c>
      <c r="T14" s="24">
        <f t="shared" si="14"/>
        <v>1245176.25</v>
      </c>
      <c r="U14" s="84">
        <v>1161284</v>
      </c>
      <c r="V14" s="84">
        <v>83892.25</v>
      </c>
      <c r="W14" s="135">
        <f t="shared" si="8"/>
        <v>6.7373795476744755E-2</v>
      </c>
    </row>
    <row r="15" spans="1:220">
      <c r="A15" s="15">
        <v>2010</v>
      </c>
      <c r="B15" s="528">
        <v>11</v>
      </c>
      <c r="C15" s="528">
        <v>1.25</v>
      </c>
      <c r="D15" s="23">
        <f t="shared" si="9"/>
        <v>12.25</v>
      </c>
      <c r="E15" s="82">
        <f t="shared" si="10"/>
        <v>25</v>
      </c>
      <c r="F15" s="82">
        <f t="shared" si="11"/>
        <v>23</v>
      </c>
      <c r="G15" s="85"/>
      <c r="H15" s="85"/>
      <c r="I15" s="528">
        <v>35</v>
      </c>
      <c r="J15" s="528">
        <v>250</v>
      </c>
      <c r="K15" s="23">
        <f t="shared" si="12"/>
        <v>285</v>
      </c>
      <c r="L15" s="528">
        <v>123</v>
      </c>
      <c r="M15" s="82">
        <f t="shared" si="13"/>
        <v>158</v>
      </c>
      <c r="N15" s="528">
        <v>10</v>
      </c>
      <c r="O15" s="528">
        <v>278.14999999999998</v>
      </c>
      <c r="P15" s="133">
        <f t="shared" si="7"/>
        <v>0.56803882797051952</v>
      </c>
      <c r="Q15" s="528">
        <v>103</v>
      </c>
      <c r="R15" s="528">
        <v>0</v>
      </c>
      <c r="S15" s="84">
        <v>1241397.8999999999</v>
      </c>
      <c r="T15" s="24">
        <f t="shared" si="14"/>
        <v>1321318</v>
      </c>
      <c r="U15" s="84">
        <v>1242000</v>
      </c>
      <c r="V15" s="84">
        <v>79318</v>
      </c>
      <c r="W15" s="135">
        <f t="shared" si="8"/>
        <v>6.002945543767662E-2</v>
      </c>
    </row>
    <row r="16" spans="1:220">
      <c r="A16" s="15">
        <v>2009</v>
      </c>
      <c r="B16" s="528">
        <v>12</v>
      </c>
      <c r="C16" s="528">
        <v>1</v>
      </c>
      <c r="D16" s="23">
        <f t="shared" si="9"/>
        <v>13</v>
      </c>
      <c r="E16" s="82">
        <f t="shared" si="10"/>
        <v>24</v>
      </c>
      <c r="F16" s="82">
        <f t="shared" si="11"/>
        <v>22</v>
      </c>
      <c r="G16" s="85"/>
      <c r="H16" s="85"/>
      <c r="I16" s="528">
        <v>30</v>
      </c>
      <c r="J16" s="528">
        <v>301</v>
      </c>
      <c r="K16" s="23">
        <f t="shared" si="12"/>
        <v>331</v>
      </c>
      <c r="L16" s="528">
        <v>145.57</v>
      </c>
      <c r="M16" s="82">
        <f t="shared" si="13"/>
        <v>175.57</v>
      </c>
      <c r="N16" s="528">
        <v>15</v>
      </c>
      <c r="O16" s="528">
        <v>290.57</v>
      </c>
      <c r="P16" s="133">
        <f t="shared" si="7"/>
        <v>0.60422617613655916</v>
      </c>
      <c r="Q16" s="528">
        <v>95</v>
      </c>
      <c r="R16" s="528">
        <v>0</v>
      </c>
      <c r="S16" s="84">
        <v>1563863.47</v>
      </c>
      <c r="T16" s="24">
        <f t="shared" si="14"/>
        <v>1563863.47</v>
      </c>
      <c r="U16" s="84">
        <v>1491096.47</v>
      </c>
      <c r="V16" s="84">
        <v>72767</v>
      </c>
      <c r="W16" s="135">
        <f t="shared" si="8"/>
        <v>4.6530276712710733E-2</v>
      </c>
    </row>
    <row r="17" spans="1:24">
      <c r="A17" s="15">
        <v>2008</v>
      </c>
      <c r="B17" s="528">
        <v>12</v>
      </c>
      <c r="C17" s="528">
        <v>1.32</v>
      </c>
      <c r="D17" s="23">
        <f t="shared" si="9"/>
        <v>13.32</v>
      </c>
      <c r="E17" s="82">
        <f t="shared" si="10"/>
        <v>22</v>
      </c>
      <c r="F17" s="82">
        <f t="shared" si="11"/>
        <v>20</v>
      </c>
      <c r="G17" s="85"/>
      <c r="H17" s="85"/>
      <c r="I17" s="528">
        <v>21</v>
      </c>
      <c r="J17" s="528">
        <v>287</v>
      </c>
      <c r="K17" s="23">
        <f t="shared" si="12"/>
        <v>308</v>
      </c>
      <c r="L17" s="528">
        <v>135.96</v>
      </c>
      <c r="M17" s="82">
        <f t="shared" si="13"/>
        <v>156.96</v>
      </c>
      <c r="N17" s="528">
        <v>20</v>
      </c>
      <c r="O17" s="528">
        <v>269</v>
      </c>
      <c r="P17" s="133">
        <f t="shared" si="7"/>
        <v>0.58349442379182159</v>
      </c>
      <c r="Q17" s="528">
        <v>81</v>
      </c>
      <c r="R17" s="528">
        <v>1</v>
      </c>
      <c r="S17" s="84">
        <v>1412931</v>
      </c>
      <c r="T17" s="24">
        <f t="shared" si="14"/>
        <v>1412931</v>
      </c>
      <c r="U17" s="84">
        <v>1391454</v>
      </c>
      <c r="V17" s="84">
        <v>21477</v>
      </c>
      <c r="W17" s="135">
        <f t="shared" si="8"/>
        <v>1.5200317637591644E-2</v>
      </c>
    </row>
    <row r="18" spans="1:24">
      <c r="A18" s="15">
        <v>2007</v>
      </c>
      <c r="B18" s="528">
        <v>11</v>
      </c>
      <c r="C18" s="528">
        <v>3.6</v>
      </c>
      <c r="D18" s="23">
        <f t="shared" si="9"/>
        <v>14.6</v>
      </c>
      <c r="E18" s="82">
        <f t="shared" si="10"/>
        <v>13</v>
      </c>
      <c r="F18" s="82">
        <f t="shared" si="11"/>
        <v>10</v>
      </c>
      <c r="G18" s="85"/>
      <c r="H18" s="85"/>
      <c r="I18" s="528">
        <v>23</v>
      </c>
      <c r="J18" s="528">
        <v>264</v>
      </c>
      <c r="K18" s="23">
        <f t="shared" si="12"/>
        <v>287</v>
      </c>
      <c r="L18" s="528">
        <v>119</v>
      </c>
      <c r="M18" s="82">
        <f t="shared" si="13"/>
        <v>142</v>
      </c>
      <c r="N18" s="528">
        <v>21</v>
      </c>
      <c r="O18" s="528">
        <v>145</v>
      </c>
      <c r="P18" s="133">
        <f t="shared" si="7"/>
        <v>0.97931034482758617</v>
      </c>
      <c r="Q18" s="528">
        <v>75</v>
      </c>
      <c r="R18" s="528">
        <v>3</v>
      </c>
      <c r="S18" s="132">
        <v>1173185</v>
      </c>
      <c r="T18" s="24">
        <f t="shared" si="14"/>
        <v>1173185</v>
      </c>
      <c r="U18" s="132">
        <v>1155367</v>
      </c>
      <c r="V18" s="132">
        <v>17818</v>
      </c>
      <c r="W18" s="135">
        <f t="shared" si="8"/>
        <v>1.5187715492441516E-2</v>
      </c>
      <c r="X18" s="59"/>
    </row>
    <row r="19" spans="1:24">
      <c r="A19" s="15">
        <v>2006</v>
      </c>
      <c r="B19" s="528">
        <v>18</v>
      </c>
      <c r="C19" s="528">
        <v>4</v>
      </c>
      <c r="D19" s="23">
        <f t="shared" si="9"/>
        <v>22</v>
      </c>
      <c r="E19" s="82">
        <f t="shared" si="10"/>
        <v>14</v>
      </c>
      <c r="F19" s="82">
        <f t="shared" si="11"/>
        <v>11</v>
      </c>
      <c r="G19" s="85"/>
      <c r="H19" s="85"/>
      <c r="I19" s="528">
        <v>17</v>
      </c>
      <c r="J19" s="528">
        <v>224</v>
      </c>
      <c r="K19" s="23">
        <f t="shared" si="12"/>
        <v>241</v>
      </c>
      <c r="L19" s="528">
        <v>150</v>
      </c>
      <c r="M19" s="82">
        <f t="shared" si="13"/>
        <v>167</v>
      </c>
      <c r="N19" s="528">
        <v>16</v>
      </c>
      <c r="O19" s="528">
        <v>244</v>
      </c>
      <c r="P19" s="133">
        <f t="shared" si="7"/>
        <v>0.68442622950819676</v>
      </c>
      <c r="Q19" s="528">
        <v>63</v>
      </c>
      <c r="R19" s="528">
        <v>43</v>
      </c>
      <c r="S19" s="132">
        <v>1159805</v>
      </c>
      <c r="T19" s="24">
        <f t="shared" si="14"/>
        <v>1159805</v>
      </c>
      <c r="U19" s="132">
        <v>1159805</v>
      </c>
      <c r="V19" s="132">
        <v>0</v>
      </c>
      <c r="W19" s="135">
        <f t="shared" si="8"/>
        <v>0</v>
      </c>
      <c r="X19" s="59"/>
    </row>
    <row r="20" spans="1:24" s="12" customFormat="1"/>
    <row r="21" spans="1:24" s="12" customFormat="1"/>
    <row r="22" spans="1:24" s="12" customFormat="1"/>
    <row r="23" spans="1:24" s="12" customFormat="1"/>
    <row r="24" spans="1:24" s="12" customFormat="1"/>
    <row r="25" spans="1:24" s="12" customFormat="1"/>
    <row r="26" spans="1:24" s="12" customFormat="1"/>
    <row r="27" spans="1:24" s="12" customFormat="1"/>
    <row r="28" spans="1:24" s="12" customFormat="1"/>
    <row r="29" spans="1:24" s="12" customFormat="1"/>
    <row r="30" spans="1:24" s="12" customFormat="1"/>
    <row r="31" spans="1:24" s="12" customFormat="1"/>
    <row r="32" spans="1:24" s="12" customFormat="1"/>
    <row r="33" s="12" customFormat="1"/>
    <row r="34" s="12" customFormat="1"/>
    <row r="35" s="12" customFormat="1"/>
  </sheetData>
  <printOptions headings="1" gridLines="1"/>
  <pageMargins left="0.5" right="0.5" top="0.5" bottom="0.5" header="0" footer="0"/>
  <pageSetup paperSize="5" scale="65" orientation="landscape" horizontalDpi="1200" verticalDpi="120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L34"/>
  <sheetViews>
    <sheetView workbookViewId="0">
      <selection activeCell="I9" sqref="I9"/>
    </sheetView>
  </sheetViews>
  <sheetFormatPr defaultColWidth="8.85546875" defaultRowHeight="15"/>
  <cols>
    <col min="1" max="1" width="10.57031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0.85546875" bestFit="1" customWidth="1"/>
    <col min="23" max="23" width="12.85546875" bestFit="1" customWidth="1"/>
  </cols>
  <sheetData>
    <row r="1" spans="1:220" s="1" customFormat="1" ht="18.75">
      <c r="A1" s="1" t="s">
        <v>77</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row>
    <row r="2" spans="1:220" s="3"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row>
    <row r="3" spans="1:220" s="64" customFormat="1">
      <c r="A3" s="105">
        <v>2022</v>
      </c>
      <c r="B3" s="54">
        <v>10</v>
      </c>
      <c r="C3" s="54">
        <v>5.6109999999999998</v>
      </c>
      <c r="D3" s="106">
        <f t="shared" ref="D3" si="0">SUM(B3:C3)</f>
        <v>15.611000000000001</v>
      </c>
      <c r="E3" s="106">
        <f>ROUND((O3/B3),0)</f>
        <v>19</v>
      </c>
      <c r="F3" s="106">
        <f>ROUND((O3/D3),0)</f>
        <v>12</v>
      </c>
      <c r="G3" s="54">
        <v>10</v>
      </c>
      <c r="H3" s="54">
        <v>5.6109999999999998</v>
      </c>
      <c r="I3" s="54">
        <v>33</v>
      </c>
      <c r="J3" s="54">
        <v>314</v>
      </c>
      <c r="K3" s="106">
        <f>SUM(I3:J3)</f>
        <v>347</v>
      </c>
      <c r="L3" s="54">
        <v>147.41</v>
      </c>
      <c r="M3" s="302">
        <f t="shared" ref="M3" si="1">(I3+L3)</f>
        <v>180.41</v>
      </c>
      <c r="N3" s="54">
        <v>50</v>
      </c>
      <c r="O3" s="54">
        <v>186.6</v>
      </c>
      <c r="P3" s="385">
        <f>M3/O3</f>
        <v>0.96682743837084673</v>
      </c>
      <c r="Q3" s="54">
        <v>176</v>
      </c>
      <c r="R3" s="54">
        <v>4</v>
      </c>
      <c r="S3" s="428">
        <v>2179484</v>
      </c>
      <c r="T3" s="429">
        <v>2152319</v>
      </c>
      <c r="U3" s="428">
        <v>2066072</v>
      </c>
      <c r="V3" s="428">
        <v>86247</v>
      </c>
      <c r="W3" s="303">
        <f>V3/T3</f>
        <v>4.007166223965871E-2</v>
      </c>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row>
    <row r="4" spans="1:220">
      <c r="A4" s="105">
        <v>2021</v>
      </c>
      <c r="B4" s="66">
        <v>10</v>
      </c>
      <c r="C4" s="66">
        <v>4.7</v>
      </c>
      <c r="D4" s="106">
        <f>SUM(B4:C4)</f>
        <v>14.7</v>
      </c>
      <c r="E4" s="106">
        <f>ROUND((O4/B4),0)</f>
        <v>20</v>
      </c>
      <c r="F4" s="106">
        <f>ROUND((O4/D4),0)</f>
        <v>14</v>
      </c>
      <c r="G4" s="66">
        <v>10</v>
      </c>
      <c r="H4" s="66">
        <v>4.7</v>
      </c>
      <c r="I4" s="66">
        <v>20</v>
      </c>
      <c r="J4" s="66">
        <v>363</v>
      </c>
      <c r="K4" s="106">
        <f>SUM(I4:J4)</f>
        <v>383</v>
      </c>
      <c r="L4" s="66">
        <v>176.4</v>
      </c>
      <c r="M4" s="302">
        <f>(I4+L4)</f>
        <v>196.4</v>
      </c>
      <c r="N4" s="66">
        <v>36</v>
      </c>
      <c r="O4" s="66">
        <v>202.5</v>
      </c>
      <c r="P4" s="303">
        <f>M4/O4</f>
        <v>0.9698765432098766</v>
      </c>
      <c r="Q4" s="66">
        <v>162</v>
      </c>
      <c r="R4" s="66">
        <v>6</v>
      </c>
      <c r="S4" s="304">
        <v>2465032</v>
      </c>
      <c r="T4" s="111">
        <f t="shared" ref="T4" si="2">SUM(U4:V4)</f>
        <v>2645329</v>
      </c>
      <c r="U4" s="304">
        <v>2522185</v>
      </c>
      <c r="V4" s="304">
        <v>123144</v>
      </c>
      <c r="W4" s="303">
        <f>V4/T4</f>
        <v>4.655148754653958E-2</v>
      </c>
    </row>
    <row r="5" spans="1:220">
      <c r="A5" s="105">
        <v>2020</v>
      </c>
      <c r="B5" s="66">
        <v>10</v>
      </c>
      <c r="C5" s="66">
        <v>8</v>
      </c>
      <c r="D5" s="106">
        <f>SUM(B5:C5)</f>
        <v>18</v>
      </c>
      <c r="E5" s="106">
        <f>ROUND((O5/B5),0)</f>
        <v>19</v>
      </c>
      <c r="F5" s="106">
        <f>ROUND((O5/D5),0)</f>
        <v>10</v>
      </c>
      <c r="G5" s="66">
        <v>11</v>
      </c>
      <c r="H5" s="66">
        <v>8</v>
      </c>
      <c r="I5" s="66">
        <v>23</v>
      </c>
      <c r="J5" s="66">
        <v>372</v>
      </c>
      <c r="K5" s="106">
        <f>SUM(I5:J5)</f>
        <v>395</v>
      </c>
      <c r="L5" s="66">
        <v>180.2</v>
      </c>
      <c r="M5" s="302">
        <f>(I5+L5)</f>
        <v>203.2</v>
      </c>
      <c r="N5" s="66">
        <v>46</v>
      </c>
      <c r="O5" s="66">
        <v>186.5</v>
      </c>
      <c r="P5" s="303">
        <f>M5/O5</f>
        <v>1.089544235924933</v>
      </c>
      <c r="Q5" s="66">
        <v>148</v>
      </c>
      <c r="R5" s="66">
        <v>4</v>
      </c>
      <c r="S5" s="304">
        <v>2591833.5699999998</v>
      </c>
      <c r="T5" s="111">
        <f>SUM(U5:V5)</f>
        <v>2609679.6799999997</v>
      </c>
      <c r="U5" s="304">
        <v>2522185.2599999998</v>
      </c>
      <c r="V5" s="304">
        <v>87494.42</v>
      </c>
      <c r="W5" s="303">
        <f>V5/T5</f>
        <v>3.3526880969544891E-2</v>
      </c>
    </row>
    <row r="6" spans="1:220">
      <c r="A6" s="105">
        <v>2019</v>
      </c>
      <c r="B6" s="66">
        <v>9</v>
      </c>
      <c r="C6" s="66">
        <v>9.6</v>
      </c>
      <c r="D6" s="106">
        <f>SUM(B6:C6)</f>
        <v>18.600000000000001</v>
      </c>
      <c r="E6" s="106">
        <f>ROUND((O6/B6),0)</f>
        <v>21</v>
      </c>
      <c r="F6" s="106">
        <f>ROUND((O6/D6),0)</f>
        <v>10</v>
      </c>
      <c r="G6" s="66">
        <v>9</v>
      </c>
      <c r="H6" s="66">
        <v>9.6</v>
      </c>
      <c r="I6" s="66">
        <v>23</v>
      </c>
      <c r="J6" s="66">
        <v>358</v>
      </c>
      <c r="K6" s="106">
        <f>SUM(I6:J6)</f>
        <v>381</v>
      </c>
      <c r="L6" s="66">
        <v>168.2</v>
      </c>
      <c r="M6" s="302">
        <f>(I6+L6)</f>
        <v>191.2</v>
      </c>
      <c r="N6" s="66">
        <v>3</v>
      </c>
      <c r="O6" s="66">
        <v>185.8</v>
      </c>
      <c r="P6" s="303">
        <f>M6/O6</f>
        <v>1.0290635091496232</v>
      </c>
      <c r="Q6" s="66">
        <v>138</v>
      </c>
      <c r="R6" s="66">
        <v>4</v>
      </c>
      <c r="S6" s="304">
        <v>2369048</v>
      </c>
      <c r="T6" s="111">
        <f>SUM(U6:V6)</f>
        <v>2368180</v>
      </c>
      <c r="U6" s="304">
        <v>2267194</v>
      </c>
      <c r="V6" s="304">
        <v>100986</v>
      </c>
      <c r="W6" s="303">
        <f>V6/T6</f>
        <v>4.2642873430229121E-2</v>
      </c>
    </row>
    <row r="7" spans="1:220" s="14" customFormat="1">
      <c r="A7" s="10">
        <v>2018</v>
      </c>
      <c r="B7" s="17">
        <v>10</v>
      </c>
      <c r="C7" s="17">
        <v>5</v>
      </c>
      <c r="D7" s="23">
        <f>SUM(B7:C7)</f>
        <v>15</v>
      </c>
      <c r="E7" s="82">
        <f>ROUND((O7/B7), 0)</f>
        <v>26</v>
      </c>
      <c r="F7" s="82">
        <f>ROUND((O7/D7), 0)</f>
        <v>17</v>
      </c>
      <c r="G7" s="17">
        <v>10</v>
      </c>
      <c r="H7" s="17">
        <v>5</v>
      </c>
      <c r="I7" s="17">
        <v>29</v>
      </c>
      <c r="J7" s="17">
        <v>314</v>
      </c>
      <c r="K7" s="23">
        <f t="shared" ref="K7" si="3">SUM(I7:J7)</f>
        <v>343</v>
      </c>
      <c r="L7" s="17">
        <v>147.5</v>
      </c>
      <c r="M7" s="82">
        <f>(I7+L7)</f>
        <v>176.5</v>
      </c>
      <c r="N7" s="17">
        <v>16</v>
      </c>
      <c r="O7" s="17">
        <v>259</v>
      </c>
      <c r="P7" s="133">
        <f>M7/O7</f>
        <v>0.68146718146718144</v>
      </c>
      <c r="Q7" s="17">
        <v>122</v>
      </c>
      <c r="R7" s="17">
        <v>3</v>
      </c>
      <c r="S7" s="20">
        <v>2443853</v>
      </c>
      <c r="T7" s="24">
        <f>SUM(U7:V7)</f>
        <v>2571258</v>
      </c>
      <c r="U7" s="20">
        <v>2259839</v>
      </c>
      <c r="V7" s="20">
        <v>311419</v>
      </c>
      <c r="W7" s="135">
        <f>V7/T7</f>
        <v>0.12111542287860651</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10</v>
      </c>
      <c r="C8" s="17">
        <v>4</v>
      </c>
      <c r="D8" s="27">
        <f>SUM(B8:C8)</f>
        <v>14</v>
      </c>
      <c r="E8" s="27">
        <f>ROUND((O8/B8), 0)</f>
        <v>22</v>
      </c>
      <c r="F8" s="27">
        <f>ROUND((O8/D8), 0)</f>
        <v>16</v>
      </c>
      <c r="G8" s="17">
        <v>10</v>
      </c>
      <c r="H8" s="17">
        <v>4</v>
      </c>
      <c r="I8" s="17">
        <v>23</v>
      </c>
      <c r="J8" s="17">
        <v>292</v>
      </c>
      <c r="K8" s="27">
        <f>SUM(I8:J8)</f>
        <v>315</v>
      </c>
      <c r="L8" s="17">
        <v>186.7</v>
      </c>
      <c r="M8" s="29">
        <f>(I8+L8)</f>
        <v>209.7</v>
      </c>
      <c r="N8" s="255">
        <v>14</v>
      </c>
      <c r="O8" s="255">
        <v>220</v>
      </c>
      <c r="P8" s="133">
        <f t="shared" ref="P8:P23" si="4">M8/O8</f>
        <v>0.95318181818181813</v>
      </c>
      <c r="Q8" s="17">
        <v>145</v>
      </c>
      <c r="R8" s="17">
        <v>1</v>
      </c>
      <c r="S8" s="223">
        <v>2098734</v>
      </c>
      <c r="T8" s="28">
        <f>SUM(U8:V8)</f>
        <v>2232862</v>
      </c>
      <c r="U8" s="252">
        <v>1958005</v>
      </c>
      <c r="V8" s="20">
        <v>274857</v>
      </c>
      <c r="W8" s="135">
        <f t="shared" ref="W8:W23" si="5">V8/T8</f>
        <v>0.12309627733375372</v>
      </c>
    </row>
    <row r="9" spans="1:220" s="64" customFormat="1">
      <c r="A9" s="10">
        <v>2016</v>
      </c>
      <c r="B9" s="54">
        <v>9</v>
      </c>
      <c r="C9" s="54">
        <v>2</v>
      </c>
      <c r="D9" s="65">
        <f>B9+C9</f>
        <v>11</v>
      </c>
      <c r="E9" s="13">
        <f>ROUND((O9/B9), 0)</f>
        <v>25</v>
      </c>
      <c r="F9" s="13">
        <f>ROUND((O9/D9), 0)</f>
        <v>20</v>
      </c>
      <c r="G9" s="54">
        <v>9</v>
      </c>
      <c r="H9" s="54">
        <v>2</v>
      </c>
      <c r="I9" s="54">
        <v>23</v>
      </c>
      <c r="J9" s="54">
        <v>261</v>
      </c>
      <c r="K9" s="65">
        <f>I9+J9</f>
        <v>284</v>
      </c>
      <c r="L9" s="54">
        <v>162</v>
      </c>
      <c r="M9" s="13">
        <f>I9+L9</f>
        <v>185</v>
      </c>
      <c r="N9" s="54">
        <v>20</v>
      </c>
      <c r="O9" s="54">
        <v>223</v>
      </c>
      <c r="P9" s="133">
        <f t="shared" si="4"/>
        <v>0.82959641255605376</v>
      </c>
      <c r="Q9" s="54">
        <v>140</v>
      </c>
      <c r="R9" s="54">
        <v>9</v>
      </c>
      <c r="S9" s="55">
        <v>1792772</v>
      </c>
      <c r="T9" s="68">
        <f>SUM(U9:V9)</f>
        <v>1972144</v>
      </c>
      <c r="U9" s="55">
        <v>1105860</v>
      </c>
      <c r="V9" s="55">
        <v>866284</v>
      </c>
      <c r="W9" s="135">
        <f t="shared" si="5"/>
        <v>0.43926001346757643</v>
      </c>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row>
    <row r="10" spans="1:220">
      <c r="A10" s="15">
        <v>2015</v>
      </c>
      <c r="B10" s="70">
        <v>8</v>
      </c>
      <c r="C10" s="70">
        <v>4.5</v>
      </c>
      <c r="D10" s="65">
        <v>12.5</v>
      </c>
      <c r="E10" s="65">
        <v>29</v>
      </c>
      <c r="F10" s="65">
        <v>18.600000000000001</v>
      </c>
      <c r="G10" s="83"/>
      <c r="H10" s="83"/>
      <c r="I10" s="70">
        <v>36</v>
      </c>
      <c r="J10" s="70">
        <v>284</v>
      </c>
      <c r="K10" s="65">
        <v>320</v>
      </c>
      <c r="L10" s="70">
        <v>182</v>
      </c>
      <c r="M10" s="65">
        <v>218</v>
      </c>
      <c r="N10" s="70">
        <v>33</v>
      </c>
      <c r="O10" s="70">
        <v>232</v>
      </c>
      <c r="P10" s="133">
        <f t="shared" si="4"/>
        <v>0.93965517241379315</v>
      </c>
      <c r="Q10" s="70">
        <v>217</v>
      </c>
      <c r="R10" s="70">
        <v>6</v>
      </c>
      <c r="S10" s="78">
        <v>1662492</v>
      </c>
      <c r="T10" s="79">
        <v>1898346</v>
      </c>
      <c r="U10" s="78">
        <v>1054680</v>
      </c>
      <c r="V10" s="78">
        <v>843666</v>
      </c>
      <c r="W10" s="135">
        <f t="shared" si="5"/>
        <v>0.44442161755549303</v>
      </c>
    </row>
    <row r="11" spans="1:220">
      <c r="A11" s="15">
        <v>2014</v>
      </c>
      <c r="B11" s="70">
        <v>8</v>
      </c>
      <c r="C11" s="70">
        <v>5.1100000000000003</v>
      </c>
      <c r="D11" s="65">
        <f>B11+C11</f>
        <v>13.11</v>
      </c>
      <c r="E11" s="13">
        <f t="shared" ref="E11:E23" si="6">ROUND((O11/B11), 0)</f>
        <v>28</v>
      </c>
      <c r="F11" s="13">
        <f t="shared" ref="F11:F23" si="7">ROUND((O11/D11), 0)</f>
        <v>17</v>
      </c>
      <c r="G11" s="83"/>
      <c r="H11" s="83"/>
      <c r="I11" s="70">
        <v>18</v>
      </c>
      <c r="J11" s="70">
        <v>307</v>
      </c>
      <c r="K11" s="65">
        <f>I11+J11</f>
        <v>325</v>
      </c>
      <c r="L11" s="70">
        <v>188.3</v>
      </c>
      <c r="M11" s="13">
        <f>I11+L11</f>
        <v>206.3</v>
      </c>
      <c r="N11" s="70">
        <v>36</v>
      </c>
      <c r="O11" s="70">
        <v>220</v>
      </c>
      <c r="P11" s="133">
        <f t="shared" si="4"/>
        <v>0.93772727272727274</v>
      </c>
      <c r="Q11" s="70">
        <v>111</v>
      </c>
      <c r="R11" s="70">
        <v>4</v>
      </c>
      <c r="S11" s="71">
        <v>2075944</v>
      </c>
      <c r="T11" s="68">
        <f t="shared" ref="T11:T23" si="8">SUM(U11:V11)</f>
        <v>2080306</v>
      </c>
      <c r="U11" s="71">
        <v>2080306</v>
      </c>
      <c r="V11" s="71">
        <v>0</v>
      </c>
      <c r="W11" s="135">
        <f t="shared" si="5"/>
        <v>0</v>
      </c>
    </row>
    <row r="12" spans="1:220">
      <c r="A12" s="15">
        <v>2013</v>
      </c>
      <c r="B12" s="528">
        <v>8</v>
      </c>
      <c r="C12" s="528">
        <v>2.78</v>
      </c>
      <c r="D12" s="23">
        <f>B12+C12</f>
        <v>10.78</v>
      </c>
      <c r="E12" s="82">
        <f t="shared" si="6"/>
        <v>26</v>
      </c>
      <c r="F12" s="82">
        <f t="shared" si="7"/>
        <v>19</v>
      </c>
      <c r="G12" s="85"/>
      <c r="H12" s="85"/>
      <c r="I12" s="528">
        <v>11</v>
      </c>
      <c r="J12" s="528">
        <v>290</v>
      </c>
      <c r="K12" s="23">
        <f>I12+J12</f>
        <v>301</v>
      </c>
      <c r="L12" s="528">
        <v>187.8</v>
      </c>
      <c r="M12" s="82">
        <f>I12+L12</f>
        <v>198.8</v>
      </c>
      <c r="N12" s="528">
        <v>18</v>
      </c>
      <c r="O12" s="528">
        <v>207</v>
      </c>
      <c r="P12" s="133">
        <f t="shared" si="4"/>
        <v>0.96038647342995176</v>
      </c>
      <c r="Q12" s="528">
        <v>139</v>
      </c>
      <c r="R12" s="528">
        <v>3</v>
      </c>
      <c r="S12" s="84">
        <v>1965460</v>
      </c>
      <c r="T12" s="24">
        <f t="shared" si="8"/>
        <v>1984306</v>
      </c>
      <c r="U12" s="84">
        <v>1984306</v>
      </c>
      <c r="V12" s="84">
        <v>0</v>
      </c>
      <c r="W12" s="135">
        <f t="shared" si="5"/>
        <v>0</v>
      </c>
    </row>
    <row r="13" spans="1:220">
      <c r="A13" s="15">
        <v>2012</v>
      </c>
      <c r="B13" s="528">
        <v>8</v>
      </c>
      <c r="C13" s="528">
        <v>3.11</v>
      </c>
      <c r="D13" s="23">
        <f>B13+C13</f>
        <v>11.11</v>
      </c>
      <c r="E13" s="82">
        <f t="shared" si="6"/>
        <v>25</v>
      </c>
      <c r="F13" s="82">
        <f t="shared" si="7"/>
        <v>18</v>
      </c>
      <c r="G13" s="85"/>
      <c r="H13" s="85"/>
      <c r="I13" s="528">
        <v>23</v>
      </c>
      <c r="J13" s="528">
        <v>261</v>
      </c>
      <c r="K13" s="23">
        <f>I13+J13</f>
        <v>284</v>
      </c>
      <c r="L13" s="528">
        <v>167.60000000000002</v>
      </c>
      <c r="M13" s="82">
        <f>I13+L13</f>
        <v>190.60000000000002</v>
      </c>
      <c r="N13" s="528">
        <v>20</v>
      </c>
      <c r="O13" s="528">
        <v>201.70000000000005</v>
      </c>
      <c r="P13" s="133">
        <f t="shared" si="4"/>
        <v>0.94496777392166575</v>
      </c>
      <c r="Q13" s="528">
        <v>157</v>
      </c>
      <c r="R13" s="528">
        <v>10</v>
      </c>
      <c r="S13" s="84">
        <v>1499753</v>
      </c>
      <c r="T13" s="24">
        <f t="shared" si="8"/>
        <v>1901346</v>
      </c>
      <c r="U13" s="84">
        <v>1054680</v>
      </c>
      <c r="V13" s="84">
        <v>846666</v>
      </c>
      <c r="W13" s="135">
        <f t="shared" si="5"/>
        <v>0.44529822557283105</v>
      </c>
    </row>
    <row r="14" spans="1:220">
      <c r="A14" s="15" t="s">
        <v>26</v>
      </c>
      <c r="B14" s="528">
        <v>8</v>
      </c>
      <c r="C14" s="528">
        <v>3.44</v>
      </c>
      <c r="D14" s="23">
        <f t="shared" ref="D14:D23" si="9">SUM(B14:C14)</f>
        <v>11.44</v>
      </c>
      <c r="E14" s="82">
        <f t="shared" si="6"/>
        <v>27</v>
      </c>
      <c r="F14" s="82">
        <f t="shared" si="7"/>
        <v>19</v>
      </c>
      <c r="G14" s="85"/>
      <c r="H14" s="85"/>
      <c r="I14" s="528">
        <v>23</v>
      </c>
      <c r="J14" s="528">
        <v>312</v>
      </c>
      <c r="K14" s="23">
        <f t="shared" ref="K14:K23" si="10">SUM(I14:J14)</f>
        <v>335</v>
      </c>
      <c r="L14" s="528">
        <v>191</v>
      </c>
      <c r="M14" s="82">
        <f t="shared" ref="M14:M23" si="11">(I14+L14)</f>
        <v>214</v>
      </c>
      <c r="N14" s="528">
        <v>27</v>
      </c>
      <c r="O14" s="528">
        <v>214</v>
      </c>
      <c r="P14" s="133">
        <f t="shared" si="4"/>
        <v>1</v>
      </c>
      <c r="Q14" s="528">
        <v>133</v>
      </c>
      <c r="R14" s="528">
        <v>7</v>
      </c>
      <c r="S14" s="84">
        <v>1882759</v>
      </c>
      <c r="T14" s="24">
        <f t="shared" si="8"/>
        <v>1966793</v>
      </c>
      <c r="U14" s="84">
        <v>1043890</v>
      </c>
      <c r="V14" s="84">
        <v>922903</v>
      </c>
      <c r="W14" s="135">
        <f t="shared" si="5"/>
        <v>0.46924256899429678</v>
      </c>
    </row>
    <row r="15" spans="1:220">
      <c r="A15" s="15" t="s">
        <v>27</v>
      </c>
      <c r="B15" s="528">
        <v>7</v>
      </c>
      <c r="C15" s="528">
        <v>4.5599999999999996</v>
      </c>
      <c r="D15" s="23">
        <f t="shared" si="9"/>
        <v>11.559999999999999</v>
      </c>
      <c r="E15" s="82">
        <f t="shared" si="6"/>
        <v>34</v>
      </c>
      <c r="F15" s="82">
        <f t="shared" si="7"/>
        <v>20</v>
      </c>
      <c r="G15" s="85"/>
      <c r="H15" s="85"/>
      <c r="I15" s="528">
        <v>21</v>
      </c>
      <c r="J15" s="528">
        <v>320</v>
      </c>
      <c r="K15" s="23">
        <f t="shared" si="10"/>
        <v>341</v>
      </c>
      <c r="L15" s="528">
        <v>206.3</v>
      </c>
      <c r="M15" s="82">
        <f t="shared" si="11"/>
        <v>227.3</v>
      </c>
      <c r="N15" s="528">
        <v>31</v>
      </c>
      <c r="O15" s="528">
        <v>235.8</v>
      </c>
      <c r="P15" s="133">
        <f t="shared" si="4"/>
        <v>0.96395250212044103</v>
      </c>
      <c r="Q15" s="528">
        <v>127</v>
      </c>
      <c r="R15" s="528">
        <v>6</v>
      </c>
      <c r="S15" s="84">
        <v>1898447</v>
      </c>
      <c r="T15" s="24">
        <f t="shared" si="8"/>
        <v>2021111</v>
      </c>
      <c r="U15" s="84">
        <v>1043890</v>
      </c>
      <c r="V15" s="84">
        <v>977221</v>
      </c>
      <c r="W15" s="135">
        <f t="shared" si="5"/>
        <v>0.48350684351329543</v>
      </c>
    </row>
    <row r="16" spans="1:220">
      <c r="A16" s="15" t="s">
        <v>28</v>
      </c>
      <c r="B16" s="528">
        <v>7</v>
      </c>
      <c r="C16" s="528">
        <v>4.5599999999999996</v>
      </c>
      <c r="D16" s="23">
        <f t="shared" si="9"/>
        <v>11.559999999999999</v>
      </c>
      <c r="E16" s="82">
        <f t="shared" si="6"/>
        <v>35</v>
      </c>
      <c r="F16" s="82">
        <f t="shared" si="7"/>
        <v>21</v>
      </c>
      <c r="G16" s="85"/>
      <c r="H16" s="85"/>
      <c r="I16" s="528">
        <v>19</v>
      </c>
      <c r="J16" s="528">
        <v>287</v>
      </c>
      <c r="K16" s="23">
        <f t="shared" si="10"/>
        <v>306</v>
      </c>
      <c r="L16" s="528">
        <v>181.6</v>
      </c>
      <c r="M16" s="82">
        <f t="shared" si="11"/>
        <v>200.6</v>
      </c>
      <c r="N16" s="528">
        <v>25</v>
      </c>
      <c r="O16" s="528">
        <v>245.8</v>
      </c>
      <c r="P16" s="133">
        <f t="shared" si="4"/>
        <v>0.81611065907241653</v>
      </c>
      <c r="Q16" s="528">
        <v>119</v>
      </c>
      <c r="R16" s="528">
        <v>8</v>
      </c>
      <c r="S16" s="84">
        <v>1921236</v>
      </c>
      <c r="T16" s="24">
        <f t="shared" si="8"/>
        <v>2096619</v>
      </c>
      <c r="U16" s="84">
        <v>1143872</v>
      </c>
      <c r="V16" s="84">
        <v>952747</v>
      </c>
      <c r="W16" s="135">
        <f t="shared" si="5"/>
        <v>0.45442066488951977</v>
      </c>
    </row>
    <row r="17" spans="1:23">
      <c r="A17" s="15" t="s">
        <v>29</v>
      </c>
      <c r="B17" s="528">
        <v>11</v>
      </c>
      <c r="C17" s="528">
        <v>9.67</v>
      </c>
      <c r="D17" s="23">
        <f t="shared" si="9"/>
        <v>20.67</v>
      </c>
      <c r="E17" s="82">
        <f t="shared" si="6"/>
        <v>20</v>
      </c>
      <c r="F17" s="82">
        <f t="shared" si="7"/>
        <v>10</v>
      </c>
      <c r="G17" s="85"/>
      <c r="H17" s="85"/>
      <c r="I17" s="528">
        <v>54</v>
      </c>
      <c r="J17" s="528">
        <v>237</v>
      </c>
      <c r="K17" s="23">
        <f t="shared" si="10"/>
        <v>291</v>
      </c>
      <c r="L17" s="528">
        <v>125</v>
      </c>
      <c r="M17" s="82">
        <f t="shared" si="11"/>
        <v>179</v>
      </c>
      <c r="N17" s="528">
        <v>20</v>
      </c>
      <c r="O17" s="528">
        <v>217</v>
      </c>
      <c r="P17" s="133">
        <f t="shared" si="4"/>
        <v>0.82488479262672809</v>
      </c>
      <c r="Q17" s="528">
        <v>115</v>
      </c>
      <c r="R17" s="528">
        <v>9</v>
      </c>
      <c r="S17" s="84">
        <v>1879026.82</v>
      </c>
      <c r="T17" s="24">
        <f t="shared" si="8"/>
        <v>2093175</v>
      </c>
      <c r="U17" s="84">
        <v>1190966</v>
      </c>
      <c r="V17" s="84">
        <v>902209</v>
      </c>
      <c r="W17" s="135">
        <f t="shared" si="5"/>
        <v>0.43102416185937631</v>
      </c>
    </row>
    <row r="18" spans="1:23">
      <c r="A18" s="15">
        <v>2007</v>
      </c>
      <c r="B18" s="528">
        <v>11</v>
      </c>
      <c r="C18" s="528">
        <v>4.8899999999999997</v>
      </c>
      <c r="D18" s="23">
        <f t="shared" si="9"/>
        <v>15.89</v>
      </c>
      <c r="E18" s="82">
        <f t="shared" si="6"/>
        <v>20</v>
      </c>
      <c r="F18" s="82">
        <f t="shared" si="7"/>
        <v>14</v>
      </c>
      <c r="G18" s="85"/>
      <c r="H18" s="85"/>
      <c r="I18" s="528">
        <v>51</v>
      </c>
      <c r="J18" s="528">
        <v>261</v>
      </c>
      <c r="K18" s="23">
        <f t="shared" si="10"/>
        <v>312</v>
      </c>
      <c r="L18" s="528">
        <v>131</v>
      </c>
      <c r="M18" s="82">
        <f t="shared" si="11"/>
        <v>182</v>
      </c>
      <c r="N18" s="528">
        <v>26</v>
      </c>
      <c r="O18" s="528">
        <v>220</v>
      </c>
      <c r="P18" s="133">
        <f t="shared" si="4"/>
        <v>0.82727272727272727</v>
      </c>
      <c r="Q18" s="528">
        <v>60</v>
      </c>
      <c r="R18" s="528">
        <v>9</v>
      </c>
      <c r="S18" s="132">
        <v>1862258</v>
      </c>
      <c r="T18" s="24">
        <f t="shared" si="8"/>
        <v>2001600</v>
      </c>
      <c r="U18" s="132">
        <v>1064052</v>
      </c>
      <c r="V18" s="132">
        <v>937548</v>
      </c>
      <c r="W18" s="135">
        <f t="shared" si="5"/>
        <v>0.46839928057553959</v>
      </c>
    </row>
    <row r="19" spans="1:23">
      <c r="A19" s="15">
        <v>2006</v>
      </c>
      <c r="B19" s="528">
        <v>10</v>
      </c>
      <c r="C19" s="528">
        <v>8</v>
      </c>
      <c r="D19" s="23">
        <f t="shared" si="9"/>
        <v>18</v>
      </c>
      <c r="E19" s="82">
        <f t="shared" si="6"/>
        <v>24</v>
      </c>
      <c r="F19" s="82">
        <f t="shared" si="7"/>
        <v>13</v>
      </c>
      <c r="G19" s="85"/>
      <c r="H19" s="85"/>
      <c r="I19" s="528">
        <v>58</v>
      </c>
      <c r="J19" s="528">
        <v>251</v>
      </c>
      <c r="K19" s="23">
        <f t="shared" si="10"/>
        <v>309</v>
      </c>
      <c r="L19" s="528">
        <v>139</v>
      </c>
      <c r="M19" s="82">
        <f t="shared" si="11"/>
        <v>197</v>
      </c>
      <c r="N19" s="528">
        <v>10</v>
      </c>
      <c r="O19" s="528">
        <v>241</v>
      </c>
      <c r="P19" s="133">
        <f t="shared" si="4"/>
        <v>0.81742738589211617</v>
      </c>
      <c r="Q19" s="528">
        <v>119</v>
      </c>
      <c r="R19" s="528">
        <v>2</v>
      </c>
      <c r="S19" s="132">
        <v>1988978</v>
      </c>
      <c r="T19" s="24">
        <f t="shared" si="8"/>
        <v>2994112</v>
      </c>
      <c r="U19" s="132">
        <v>1151353</v>
      </c>
      <c r="V19" s="132">
        <v>1842759</v>
      </c>
      <c r="W19" s="135">
        <f t="shared" si="5"/>
        <v>0.61546094468076007</v>
      </c>
    </row>
    <row r="20" spans="1:23">
      <c r="A20" s="15">
        <v>2005</v>
      </c>
      <c r="B20" s="528">
        <v>11</v>
      </c>
      <c r="C20" s="528">
        <v>6</v>
      </c>
      <c r="D20" s="23">
        <f t="shared" si="9"/>
        <v>17</v>
      </c>
      <c r="E20" s="82">
        <f t="shared" si="6"/>
        <v>21</v>
      </c>
      <c r="F20" s="82">
        <f t="shared" si="7"/>
        <v>14</v>
      </c>
      <c r="G20" s="85"/>
      <c r="H20" s="85"/>
      <c r="I20" s="528">
        <v>73</v>
      </c>
      <c r="J20" s="528">
        <v>191</v>
      </c>
      <c r="K20" s="23">
        <f t="shared" si="10"/>
        <v>264</v>
      </c>
      <c r="L20" s="528">
        <v>128</v>
      </c>
      <c r="M20" s="82">
        <f t="shared" si="11"/>
        <v>201</v>
      </c>
      <c r="N20" s="528">
        <v>9</v>
      </c>
      <c r="O20" s="528">
        <v>233</v>
      </c>
      <c r="P20" s="133">
        <f t="shared" si="4"/>
        <v>0.86266094420600858</v>
      </c>
      <c r="Q20" s="528">
        <v>87</v>
      </c>
      <c r="R20" s="528">
        <v>5</v>
      </c>
      <c r="S20" s="132">
        <v>2045539</v>
      </c>
      <c r="T20" s="24">
        <f t="shared" si="8"/>
        <v>2124022</v>
      </c>
      <c r="U20" s="132">
        <v>1074745</v>
      </c>
      <c r="V20" s="132">
        <v>1049277</v>
      </c>
      <c r="W20" s="135">
        <f t="shared" si="5"/>
        <v>0.49400477019541228</v>
      </c>
    </row>
    <row r="21" spans="1:23">
      <c r="A21" s="15">
        <v>2004</v>
      </c>
      <c r="B21" s="528">
        <v>10</v>
      </c>
      <c r="C21" s="528">
        <v>7</v>
      </c>
      <c r="D21" s="23">
        <f t="shared" si="9"/>
        <v>17</v>
      </c>
      <c r="E21" s="82">
        <f t="shared" si="6"/>
        <v>26</v>
      </c>
      <c r="F21" s="82">
        <f t="shared" si="7"/>
        <v>15</v>
      </c>
      <c r="G21" s="85"/>
      <c r="H21" s="85"/>
      <c r="I21" s="528">
        <v>61</v>
      </c>
      <c r="J21" s="528">
        <v>278</v>
      </c>
      <c r="K21" s="23">
        <f t="shared" si="10"/>
        <v>339</v>
      </c>
      <c r="L21" s="528">
        <v>146</v>
      </c>
      <c r="M21" s="82">
        <f t="shared" si="11"/>
        <v>207</v>
      </c>
      <c r="N21" s="528">
        <v>9</v>
      </c>
      <c r="O21" s="528">
        <v>257</v>
      </c>
      <c r="P21" s="133">
        <f t="shared" si="4"/>
        <v>0.80544747081712065</v>
      </c>
      <c r="Q21" s="528">
        <v>110</v>
      </c>
      <c r="R21" s="528">
        <v>5</v>
      </c>
      <c r="S21" s="132">
        <v>2027107</v>
      </c>
      <c r="T21" s="24">
        <f t="shared" si="8"/>
        <v>2079250</v>
      </c>
      <c r="U21" s="132">
        <v>1036672</v>
      </c>
      <c r="V21" s="132">
        <v>1042578</v>
      </c>
      <c r="W21" s="135">
        <f t="shared" si="5"/>
        <v>0.50142022363833116</v>
      </c>
    </row>
    <row r="22" spans="1:23">
      <c r="A22" s="15">
        <v>2003</v>
      </c>
      <c r="B22" s="528">
        <v>9</v>
      </c>
      <c r="C22" s="528">
        <f>ROUND(8.5, 0)</f>
        <v>9</v>
      </c>
      <c r="D22" s="23">
        <f t="shared" si="9"/>
        <v>18</v>
      </c>
      <c r="E22" s="82">
        <f t="shared" si="6"/>
        <v>36</v>
      </c>
      <c r="F22" s="82">
        <f t="shared" si="7"/>
        <v>18</v>
      </c>
      <c r="G22" s="85"/>
      <c r="H22" s="85"/>
      <c r="I22" s="528">
        <v>102</v>
      </c>
      <c r="J22" s="528">
        <v>322</v>
      </c>
      <c r="K22" s="23">
        <f t="shared" si="10"/>
        <v>424</v>
      </c>
      <c r="L22" s="528">
        <f>ROUND(167.3, 0)</f>
        <v>167</v>
      </c>
      <c r="M22" s="82">
        <f t="shared" si="11"/>
        <v>269</v>
      </c>
      <c r="N22" s="528">
        <v>12</v>
      </c>
      <c r="O22" s="528">
        <v>327</v>
      </c>
      <c r="P22" s="133">
        <f t="shared" si="4"/>
        <v>0.82262996941896027</v>
      </c>
      <c r="Q22" s="528">
        <v>94</v>
      </c>
      <c r="R22" s="528">
        <v>0</v>
      </c>
      <c r="S22" s="132">
        <v>1969201</v>
      </c>
      <c r="T22" s="24">
        <f t="shared" si="8"/>
        <v>2342041</v>
      </c>
      <c r="U22" s="132">
        <v>995006</v>
      </c>
      <c r="V22" s="132">
        <v>1347035</v>
      </c>
      <c r="W22" s="135">
        <f t="shared" si="5"/>
        <v>0.57515432052641269</v>
      </c>
    </row>
    <row r="23" spans="1:23">
      <c r="A23" s="15">
        <v>2002</v>
      </c>
      <c r="B23" s="528">
        <v>11</v>
      </c>
      <c r="C23" s="528">
        <f>ROUND(5.33, 0)</f>
        <v>5</v>
      </c>
      <c r="D23" s="23">
        <f t="shared" si="9"/>
        <v>16</v>
      </c>
      <c r="E23" s="82">
        <f t="shared" si="6"/>
        <v>22</v>
      </c>
      <c r="F23" s="82">
        <f t="shared" si="7"/>
        <v>15</v>
      </c>
      <c r="G23" s="85"/>
      <c r="H23" s="85"/>
      <c r="I23" s="528">
        <v>67</v>
      </c>
      <c r="J23" s="528">
        <v>297</v>
      </c>
      <c r="K23" s="23">
        <f t="shared" si="10"/>
        <v>364</v>
      </c>
      <c r="L23" s="528">
        <f>ROUND(153, 0)</f>
        <v>153</v>
      </c>
      <c r="M23" s="82">
        <f t="shared" si="11"/>
        <v>220</v>
      </c>
      <c r="N23" s="528">
        <v>11</v>
      </c>
      <c r="O23" s="528">
        <f>ROUND(239.57, 0)</f>
        <v>240</v>
      </c>
      <c r="P23" s="133">
        <f t="shared" si="4"/>
        <v>0.91666666666666663</v>
      </c>
      <c r="Q23" s="528">
        <v>133</v>
      </c>
      <c r="R23" s="528">
        <v>4</v>
      </c>
      <c r="S23" s="132">
        <v>1827564</v>
      </c>
      <c r="T23" s="24">
        <f t="shared" si="8"/>
        <v>2172794</v>
      </c>
      <c r="U23" s="132">
        <v>1013811</v>
      </c>
      <c r="V23" s="132">
        <v>1158983</v>
      </c>
      <c r="W23" s="135">
        <f t="shared" si="5"/>
        <v>0.53340675646195634</v>
      </c>
    </row>
    <row r="24" spans="1:23" s="12" customFormat="1" ht="20.25" customHeight="1">
      <c r="A24" s="543" t="s">
        <v>78</v>
      </c>
      <c r="B24" s="552"/>
      <c r="C24" s="552"/>
      <c r="D24" s="552"/>
      <c r="E24" s="552"/>
      <c r="F24" s="552"/>
      <c r="G24" s="552"/>
      <c r="H24" s="552"/>
      <c r="I24" s="552"/>
      <c r="J24" s="552"/>
      <c r="K24" s="552"/>
      <c r="L24" s="552"/>
      <c r="M24" s="552"/>
      <c r="N24" s="552"/>
      <c r="O24" s="552"/>
      <c r="P24" s="552"/>
      <c r="Q24" s="552"/>
      <c r="R24" s="552"/>
      <c r="S24" s="552"/>
      <c r="T24" s="552"/>
      <c r="U24" s="552"/>
      <c r="V24" s="552"/>
      <c r="W24" s="553"/>
    </row>
    <row r="25" spans="1:23" s="12" customFormat="1"/>
    <row r="26" spans="1:23" s="12" customFormat="1"/>
    <row r="27" spans="1:23" s="12" customFormat="1"/>
    <row r="28" spans="1:23" s="12" customFormat="1"/>
    <row r="29" spans="1:23" s="12" customFormat="1"/>
    <row r="30" spans="1:23" s="12" customFormat="1"/>
    <row r="31" spans="1:23" s="12" customFormat="1"/>
    <row r="32" spans="1:23" s="12" customFormat="1"/>
    <row r="33" s="12" customFormat="1"/>
    <row r="34" s="12" customFormat="1"/>
  </sheetData>
  <mergeCells count="1">
    <mergeCell ref="A24:W24"/>
  </mergeCells>
  <printOptions headings="1" gridLines="1"/>
  <pageMargins left="0.5" right="0.5" top="0.5" bottom="0.5" header="0" footer="0"/>
  <pageSetup paperSize="5" scale="65" orientation="landscape" r:id="rId1"/>
  <legacy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L35"/>
  <sheetViews>
    <sheetView workbookViewId="0">
      <selection activeCell="H7" sqref="H7"/>
    </sheetView>
  </sheetViews>
  <sheetFormatPr defaultColWidth="8.85546875" defaultRowHeight="15"/>
  <cols>
    <col min="1" max="1" width="9.8554687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0.85546875" bestFit="1" customWidth="1"/>
    <col min="23" max="23" width="14.28515625" customWidth="1"/>
  </cols>
  <sheetData>
    <row r="1" spans="1:220" s="1" customFormat="1" ht="18.75">
      <c r="A1" s="1" t="s">
        <v>79</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row>
    <row r="2" spans="1:220" s="3"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row>
    <row r="3" spans="1:220" s="485" customFormat="1">
      <c r="A3" s="474">
        <v>2022</v>
      </c>
      <c r="B3" s="392">
        <v>29</v>
      </c>
      <c r="C3" s="392">
        <v>6</v>
      </c>
      <c r="D3" s="475">
        <f t="shared" ref="D3" si="0">SUM(B3:C3)</f>
        <v>35</v>
      </c>
      <c r="E3" s="476">
        <f t="shared" ref="E3" si="1">ROUND((O3/B3), 0)</f>
        <v>25</v>
      </c>
      <c r="F3" s="477">
        <f t="shared" ref="F3" si="2">ROUND((O3/D3), 0)</f>
        <v>21</v>
      </c>
      <c r="G3" s="257">
        <v>28</v>
      </c>
      <c r="H3" s="257">
        <v>6</v>
      </c>
      <c r="I3" s="257">
        <v>67</v>
      </c>
      <c r="J3" s="257">
        <v>287</v>
      </c>
      <c r="K3" s="475">
        <f t="shared" ref="K3" si="3">SUM(I3:J3)</f>
        <v>354</v>
      </c>
      <c r="L3" s="478">
        <v>162.33000000000001</v>
      </c>
      <c r="M3" s="476">
        <f>(I3+L3)</f>
        <v>229.33</v>
      </c>
      <c r="N3" s="257">
        <v>124</v>
      </c>
      <c r="O3" s="257">
        <v>721.25</v>
      </c>
      <c r="P3" s="479">
        <f t="shared" ref="P3" si="4">M3/O3</f>
        <v>0.31796187175043328</v>
      </c>
      <c r="Q3" s="257">
        <v>108</v>
      </c>
      <c r="R3" s="257">
        <v>232</v>
      </c>
      <c r="S3" s="480">
        <v>6751328.3099999996</v>
      </c>
      <c r="T3" s="481">
        <f>U3+V3</f>
        <v>7976972</v>
      </c>
      <c r="U3" s="482">
        <v>6906439</v>
      </c>
      <c r="V3" s="480">
        <v>1070533</v>
      </c>
      <c r="W3" s="483">
        <f t="shared" ref="W3" si="5">V3/T3</f>
        <v>0.13420292812861823</v>
      </c>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c r="AV3" s="484"/>
      <c r="AW3" s="484"/>
      <c r="AX3" s="484"/>
      <c r="AY3" s="484"/>
      <c r="AZ3" s="484"/>
      <c r="BA3" s="484"/>
      <c r="BB3" s="484"/>
      <c r="BC3" s="484"/>
      <c r="BD3" s="484"/>
      <c r="BE3" s="484"/>
      <c r="BF3" s="484"/>
      <c r="BG3" s="484"/>
      <c r="BH3" s="484"/>
      <c r="BI3" s="484"/>
      <c r="BJ3" s="484"/>
      <c r="BK3" s="484"/>
      <c r="BL3" s="484"/>
      <c r="BM3" s="484"/>
    </row>
    <row r="4" spans="1:220" s="485" customFormat="1">
      <c r="A4" s="474">
        <v>2021</v>
      </c>
      <c r="B4" s="257">
        <v>30</v>
      </c>
      <c r="C4" s="257">
        <v>8.5</v>
      </c>
      <c r="D4" s="486">
        <f t="shared" ref="D4" si="6">SUM(B4:C4)</f>
        <v>38.5</v>
      </c>
      <c r="E4" s="487">
        <f t="shared" ref="E4" si="7">ROUND((O4/B4), 0)</f>
        <v>24</v>
      </c>
      <c r="F4" s="487">
        <f t="shared" ref="F4" si="8">ROUND((O4/D4), 0)</f>
        <v>19</v>
      </c>
      <c r="G4" s="257">
        <v>29</v>
      </c>
      <c r="H4" s="257">
        <v>8.5</v>
      </c>
      <c r="I4" s="257">
        <v>59</v>
      </c>
      <c r="J4" s="257">
        <v>281</v>
      </c>
      <c r="K4" s="486">
        <f>SUM(I4:J4)</f>
        <v>340</v>
      </c>
      <c r="L4" s="478">
        <v>158.66999999999999</v>
      </c>
      <c r="M4" s="487">
        <v>217.67</v>
      </c>
      <c r="N4" s="257">
        <v>110</v>
      </c>
      <c r="O4" s="257">
        <v>726.56</v>
      </c>
      <c r="P4" s="488">
        <f t="shared" ref="P4" si="9">M4/O4</f>
        <v>0.29958984805109007</v>
      </c>
      <c r="Q4" s="257">
        <v>108</v>
      </c>
      <c r="R4" s="257">
        <v>229</v>
      </c>
      <c r="S4" s="480">
        <v>7012967.25</v>
      </c>
      <c r="T4" s="489">
        <f>U4+V4</f>
        <v>7434636.6299999999</v>
      </c>
      <c r="U4" s="482">
        <v>6466012.6299999999</v>
      </c>
      <c r="V4" s="480">
        <v>968624</v>
      </c>
      <c r="W4" s="490">
        <f t="shared" ref="W4" si="10">V4/T4</f>
        <v>0.13028531832900084</v>
      </c>
      <c r="X4" s="484"/>
      <c r="Y4" s="484"/>
      <c r="Z4" s="484"/>
      <c r="AA4" s="484"/>
      <c r="AB4" s="484"/>
      <c r="AC4" s="484"/>
      <c r="AD4" s="484"/>
      <c r="AE4" s="484"/>
      <c r="AF4" s="484"/>
      <c r="AG4" s="484"/>
      <c r="AH4" s="484"/>
      <c r="AI4" s="484"/>
      <c r="AJ4" s="484"/>
      <c r="AK4" s="484"/>
      <c r="AL4" s="484"/>
      <c r="AM4" s="484"/>
      <c r="AN4" s="484"/>
      <c r="AO4" s="484"/>
      <c r="AP4" s="484"/>
      <c r="AQ4" s="484"/>
      <c r="AR4" s="484"/>
      <c r="AS4" s="484"/>
      <c r="AT4" s="484"/>
      <c r="AU4" s="484"/>
      <c r="AV4" s="484"/>
      <c r="AW4" s="484"/>
      <c r="AX4" s="484"/>
      <c r="AY4" s="484"/>
      <c r="AZ4" s="484"/>
      <c r="BA4" s="484"/>
      <c r="BB4" s="484"/>
      <c r="BC4" s="484"/>
      <c r="BD4" s="484"/>
      <c r="BE4" s="484"/>
      <c r="BF4" s="484"/>
      <c r="BG4" s="484"/>
      <c r="BH4" s="484"/>
      <c r="BI4" s="484"/>
      <c r="BJ4" s="484"/>
      <c r="BK4" s="484"/>
      <c r="BL4" s="484"/>
      <c r="BM4" s="484"/>
    </row>
    <row r="5" spans="1:220" s="485" customFormat="1">
      <c r="A5" s="474">
        <v>2020</v>
      </c>
      <c r="B5" s="257">
        <v>28</v>
      </c>
      <c r="C5" s="257">
        <v>2.75</v>
      </c>
      <c r="D5" s="486">
        <f>SUM(B5:C5)</f>
        <v>30.75</v>
      </c>
      <c r="E5" s="487">
        <f>ROUND((O5/B5), 0)</f>
        <v>23</v>
      </c>
      <c r="F5" s="487">
        <f>ROUND((O5/D5), 0)</f>
        <v>21</v>
      </c>
      <c r="G5" s="257">
        <v>23</v>
      </c>
      <c r="H5" s="257">
        <v>2.75</v>
      </c>
      <c r="I5" s="257">
        <v>61</v>
      </c>
      <c r="J5" s="257">
        <v>227</v>
      </c>
      <c r="K5" s="486">
        <f>SUM(I5:J5)</f>
        <v>288</v>
      </c>
      <c r="L5" s="478">
        <v>131.99</v>
      </c>
      <c r="M5" s="487">
        <f>(I5+L5)</f>
        <v>192.99</v>
      </c>
      <c r="N5" s="257">
        <v>99</v>
      </c>
      <c r="O5" s="257">
        <v>657.63</v>
      </c>
      <c r="P5" s="488">
        <f>M5/O5</f>
        <v>0.29346288946672144</v>
      </c>
      <c r="Q5" s="257">
        <v>90</v>
      </c>
      <c r="R5" s="257">
        <v>241</v>
      </c>
      <c r="S5" s="480">
        <v>6517552.8099999996</v>
      </c>
      <c r="T5" s="489">
        <f t="shared" ref="T5" si="11">SUM(U5:V5)</f>
        <v>6881339.3900000006</v>
      </c>
      <c r="U5" s="482">
        <v>5862153.0700000003</v>
      </c>
      <c r="V5" s="480">
        <v>1019186.32</v>
      </c>
      <c r="W5" s="490">
        <f t="shared" ref="W5" si="12">V5/T5</f>
        <v>0.14810871288823321</v>
      </c>
      <c r="X5" s="484"/>
      <c r="Y5" s="484"/>
      <c r="Z5" s="484"/>
      <c r="AA5" s="484"/>
      <c r="AB5" s="484"/>
      <c r="AC5" s="484"/>
      <c r="AD5" s="484"/>
      <c r="AE5" s="484"/>
      <c r="AF5" s="484"/>
      <c r="AG5" s="484"/>
      <c r="AH5" s="484"/>
      <c r="AI5" s="484"/>
      <c r="AJ5" s="484"/>
      <c r="AK5" s="484"/>
      <c r="AL5" s="484"/>
      <c r="AM5" s="484"/>
      <c r="AN5" s="484"/>
      <c r="AO5" s="484"/>
      <c r="AP5" s="484"/>
      <c r="AQ5" s="484"/>
      <c r="AR5" s="484"/>
      <c r="AS5" s="484"/>
      <c r="AT5" s="484"/>
      <c r="AU5" s="484"/>
      <c r="AV5" s="484"/>
      <c r="AW5" s="484"/>
      <c r="AX5" s="484"/>
      <c r="AY5" s="484"/>
      <c r="AZ5" s="484"/>
      <c r="BA5" s="484"/>
      <c r="BB5" s="484"/>
      <c r="BC5" s="484"/>
      <c r="BD5" s="484"/>
      <c r="BE5" s="484"/>
      <c r="BF5" s="484"/>
      <c r="BG5" s="484"/>
      <c r="BH5" s="484"/>
      <c r="BI5" s="484"/>
      <c r="BJ5" s="484"/>
      <c r="BK5" s="484"/>
      <c r="BL5" s="484"/>
      <c r="BM5" s="484"/>
    </row>
    <row r="6" spans="1:220" s="14" customFormat="1">
      <c r="A6" s="10">
        <v>2019</v>
      </c>
      <c r="B6" s="17">
        <v>28</v>
      </c>
      <c r="C6" s="17">
        <v>3.5</v>
      </c>
      <c r="D6" s="23">
        <f>SUM(B6:C6)</f>
        <v>31.5</v>
      </c>
      <c r="E6" s="82">
        <f>ROUND((O6/B6), 0)</f>
        <v>21</v>
      </c>
      <c r="F6" s="82">
        <f>ROUND((O6/D6), 0)</f>
        <v>19</v>
      </c>
      <c r="G6" s="17">
        <v>23</v>
      </c>
      <c r="H6" s="17">
        <v>3.5</v>
      </c>
      <c r="I6" s="17">
        <f>12+46</f>
        <v>58</v>
      </c>
      <c r="J6" s="17">
        <f>42+160</f>
        <v>202</v>
      </c>
      <c r="K6" s="23">
        <f>SUM(I6:J6)</f>
        <v>260</v>
      </c>
      <c r="L6" s="298">
        <f>59.33+93.33</f>
        <v>152.66</v>
      </c>
      <c r="M6" s="82">
        <f>(I6+L6)</f>
        <v>210.66</v>
      </c>
      <c r="N6" s="17">
        <v>83</v>
      </c>
      <c r="O6" s="17">
        <v>600.79999999999995</v>
      </c>
      <c r="P6" s="133">
        <f>M6/O6</f>
        <v>0.35063249001331559</v>
      </c>
      <c r="Q6" s="17">
        <f>1+85+1</f>
        <v>87</v>
      </c>
      <c r="R6" s="17">
        <f>87+68+41+1+3</f>
        <v>200</v>
      </c>
      <c r="S6" s="20">
        <v>6086088</v>
      </c>
      <c r="T6" s="24">
        <f>SUM(U6:V6)</f>
        <v>5194961</v>
      </c>
      <c r="U6" s="305">
        <v>4685789</v>
      </c>
      <c r="V6" s="20">
        <f>341608+79550+50000+38014</f>
        <v>509172</v>
      </c>
      <c r="W6" s="135">
        <f>V6/T6</f>
        <v>9.8012670354984371E-2</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29</v>
      </c>
      <c r="C7" s="17">
        <v>2.75</v>
      </c>
      <c r="D7" s="23">
        <f>SUM(B7:C7)</f>
        <v>31.75</v>
      </c>
      <c r="E7" s="82">
        <f>ROUND((O7/B7), 0)</f>
        <v>30</v>
      </c>
      <c r="F7" s="82">
        <f>ROUND((O7/D7), 0)</f>
        <v>28</v>
      </c>
      <c r="G7" s="17">
        <v>16</v>
      </c>
      <c r="H7" s="17">
        <v>2.75</v>
      </c>
      <c r="I7" s="17">
        <v>47</v>
      </c>
      <c r="J7" s="17">
        <v>183</v>
      </c>
      <c r="K7" s="23">
        <f t="shared" ref="K7" si="13">SUM(I7:J7)</f>
        <v>230</v>
      </c>
      <c r="L7" s="17">
        <v>107</v>
      </c>
      <c r="M7" s="82">
        <f>(I7+L7)</f>
        <v>154</v>
      </c>
      <c r="N7" s="17">
        <v>74</v>
      </c>
      <c r="O7" s="17">
        <v>874</v>
      </c>
      <c r="P7" s="133">
        <f t="shared" ref="P7" si="14">M7/O7</f>
        <v>0.17620137299771166</v>
      </c>
      <c r="Q7" s="17">
        <v>95</v>
      </c>
      <c r="R7" s="17">
        <v>215</v>
      </c>
      <c r="S7" s="20">
        <v>5952817.9199999999</v>
      </c>
      <c r="T7" s="24">
        <f>SUM(U7:V7)</f>
        <v>7069820.7800000003</v>
      </c>
      <c r="U7" s="20">
        <v>5883852.2400000002</v>
      </c>
      <c r="V7" s="20">
        <v>1185968.54</v>
      </c>
      <c r="W7" s="135">
        <f>V7/T7</f>
        <v>0.16775086341014714</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25</v>
      </c>
      <c r="C8" s="17">
        <v>4.25</v>
      </c>
      <c r="D8" s="27">
        <f>SUM(B8:C8)</f>
        <v>29.25</v>
      </c>
      <c r="E8" s="27">
        <f>ROUND((O8/B8), 0)</f>
        <v>34</v>
      </c>
      <c r="F8" s="27">
        <f>ROUND((O8/D8), 0)</f>
        <v>29</v>
      </c>
      <c r="G8" s="17">
        <v>23</v>
      </c>
      <c r="H8" s="17">
        <v>1.25</v>
      </c>
      <c r="I8" s="17">
        <v>49</v>
      </c>
      <c r="J8" s="17">
        <v>168</v>
      </c>
      <c r="K8" s="27">
        <f>SUM(I8:J8)</f>
        <v>217</v>
      </c>
      <c r="L8" s="17">
        <v>97</v>
      </c>
      <c r="M8" s="29">
        <f>(I8+L8)</f>
        <v>146</v>
      </c>
      <c r="N8" s="255">
        <v>70</v>
      </c>
      <c r="O8" s="255">
        <v>848.55560000000003</v>
      </c>
      <c r="P8" s="135">
        <f>M8/O8</f>
        <v>0.17205708146879237</v>
      </c>
      <c r="Q8" s="17">
        <v>87</v>
      </c>
      <c r="R8" s="17">
        <v>226</v>
      </c>
      <c r="S8" s="223">
        <v>5837028</v>
      </c>
      <c r="T8" s="28">
        <f>SUM(U8:V8)</f>
        <v>5914555</v>
      </c>
      <c r="U8" s="256">
        <v>5024357</v>
      </c>
      <c r="V8" s="20">
        <v>890198</v>
      </c>
      <c r="W8" s="135">
        <f t="shared" ref="W8:W23" si="15">V8/T8</f>
        <v>0.15050971713002922</v>
      </c>
    </row>
    <row r="9" spans="1:220" s="14" customFormat="1">
      <c r="A9" s="10">
        <v>2016</v>
      </c>
      <c r="B9" s="54">
        <v>25</v>
      </c>
      <c r="C9" s="54">
        <v>5.65</v>
      </c>
      <c r="D9" s="65">
        <f>SUM(B9:C9)</f>
        <v>30.65</v>
      </c>
      <c r="E9" s="13">
        <f>ROUND((O9/B9), 0)</f>
        <v>34</v>
      </c>
      <c r="F9" s="13">
        <f>ROUND((O9/D9), 0)</f>
        <v>28</v>
      </c>
      <c r="G9" s="54">
        <v>25</v>
      </c>
      <c r="H9" s="54">
        <v>5.65</v>
      </c>
      <c r="I9" s="54">
        <v>45</v>
      </c>
      <c r="J9" s="54">
        <v>181</v>
      </c>
      <c r="K9" s="65">
        <f>I9+J9</f>
        <v>226</v>
      </c>
      <c r="L9" s="54">
        <v>102</v>
      </c>
      <c r="M9" s="13">
        <f>I9+L9</f>
        <v>147</v>
      </c>
      <c r="N9" s="54">
        <v>69</v>
      </c>
      <c r="O9" s="54">
        <v>855.6</v>
      </c>
      <c r="P9" s="134">
        <f>M9/O9</f>
        <v>0.17180925666199159</v>
      </c>
      <c r="Q9" s="54">
        <v>118</v>
      </c>
      <c r="R9" s="54">
        <v>207</v>
      </c>
      <c r="S9" s="55">
        <v>5648976</v>
      </c>
      <c r="T9" s="68">
        <f>SUM(U9:V9)</f>
        <v>5952534</v>
      </c>
      <c r="U9" s="55">
        <v>4022071</v>
      </c>
      <c r="V9" s="55">
        <v>1930463</v>
      </c>
      <c r="W9" s="135">
        <f t="shared" si="15"/>
        <v>0.32430944535554102</v>
      </c>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row>
    <row r="10" spans="1:220" s="16" customFormat="1">
      <c r="A10" s="15">
        <v>2015</v>
      </c>
      <c r="B10" s="70">
        <v>29</v>
      </c>
      <c r="C10" s="70">
        <v>1</v>
      </c>
      <c r="D10" s="65">
        <v>30</v>
      </c>
      <c r="E10" s="65">
        <v>25.1</v>
      </c>
      <c r="F10" s="65">
        <v>24.3</v>
      </c>
      <c r="G10" s="168"/>
      <c r="H10" s="168"/>
      <c r="I10" s="70">
        <v>45</v>
      </c>
      <c r="J10" s="70">
        <v>196</v>
      </c>
      <c r="K10" s="65">
        <v>241</v>
      </c>
      <c r="L10" s="70">
        <v>109</v>
      </c>
      <c r="M10" s="65">
        <v>153.9</v>
      </c>
      <c r="N10" s="70">
        <v>58</v>
      </c>
      <c r="O10" s="70">
        <v>745.3</v>
      </c>
      <c r="P10" s="134">
        <v>0.21</v>
      </c>
      <c r="Q10" s="70">
        <v>159</v>
      </c>
      <c r="R10" s="70">
        <v>228</v>
      </c>
      <c r="S10" s="78">
        <v>4928551</v>
      </c>
      <c r="T10" s="79">
        <v>5674985</v>
      </c>
      <c r="U10" s="78">
        <v>4320913</v>
      </c>
      <c r="V10" s="78">
        <v>1433494</v>
      </c>
      <c r="W10" s="135">
        <f t="shared" si="15"/>
        <v>0.25259872933584848</v>
      </c>
    </row>
    <row r="11" spans="1:220" s="16" customFormat="1">
      <c r="A11" s="15">
        <v>2014</v>
      </c>
      <c r="B11" s="70">
        <v>29</v>
      </c>
      <c r="C11" s="70">
        <v>9.5</v>
      </c>
      <c r="D11" s="65">
        <f t="shared" ref="D11:D23" si="16">SUM(B11:C11)</f>
        <v>38.5</v>
      </c>
      <c r="E11" s="13">
        <f t="shared" ref="E11:E23" si="17">ROUND((O11/B11), 0)</f>
        <v>30</v>
      </c>
      <c r="F11" s="13">
        <f t="shared" ref="F11:F23" si="18">ROUND((O11/D11), 0)</f>
        <v>23</v>
      </c>
      <c r="G11" s="168"/>
      <c r="H11" s="168"/>
      <c r="I11" s="70">
        <v>3</v>
      </c>
      <c r="J11" s="70">
        <v>292</v>
      </c>
      <c r="K11" s="65">
        <f>I11+J11</f>
        <v>295</v>
      </c>
      <c r="L11" s="70">
        <v>137.6</v>
      </c>
      <c r="M11" s="13">
        <f>I11+L11</f>
        <v>140.6</v>
      </c>
      <c r="N11" s="70">
        <v>62</v>
      </c>
      <c r="O11" s="70">
        <v>876</v>
      </c>
      <c r="P11" s="134">
        <f t="shared" ref="P11:P23" si="19">M11/O11</f>
        <v>0.16050228310502282</v>
      </c>
      <c r="Q11" s="70">
        <v>146</v>
      </c>
      <c r="R11" s="70">
        <v>189</v>
      </c>
      <c r="S11" s="71">
        <v>7149883</v>
      </c>
      <c r="T11" s="68">
        <f t="shared" ref="T11:T23" si="20">SUM(U11:V11)</f>
        <v>7429531</v>
      </c>
      <c r="U11" s="117">
        <v>5697467</v>
      </c>
      <c r="V11" s="71">
        <v>1732064</v>
      </c>
      <c r="W11" s="135">
        <f t="shared" si="15"/>
        <v>0.23313234711585429</v>
      </c>
    </row>
    <row r="12" spans="1:220">
      <c r="A12" s="15">
        <v>2013</v>
      </c>
      <c r="B12" s="528">
        <v>32</v>
      </c>
      <c r="C12" s="528">
        <v>2.4</v>
      </c>
      <c r="D12" s="23">
        <f t="shared" si="16"/>
        <v>34.4</v>
      </c>
      <c r="E12" s="82">
        <f t="shared" si="17"/>
        <v>23</v>
      </c>
      <c r="F12" s="82">
        <f t="shared" si="18"/>
        <v>22</v>
      </c>
      <c r="G12" s="85"/>
      <c r="H12" s="85"/>
      <c r="I12" s="528">
        <v>7</v>
      </c>
      <c r="J12" s="528">
        <v>328</v>
      </c>
      <c r="K12" s="23">
        <f>I12+J12</f>
        <v>335</v>
      </c>
      <c r="L12" s="528">
        <v>159.30000000000001</v>
      </c>
      <c r="M12" s="82">
        <f>I12+L12</f>
        <v>166.3</v>
      </c>
      <c r="N12" s="528">
        <v>59</v>
      </c>
      <c r="O12" s="528">
        <v>739.6</v>
      </c>
      <c r="P12" s="133">
        <f t="shared" si="19"/>
        <v>0.22485127095727422</v>
      </c>
      <c r="Q12" s="528">
        <v>165</v>
      </c>
      <c r="R12" s="528">
        <v>136</v>
      </c>
      <c r="S12" s="84">
        <v>7082891</v>
      </c>
      <c r="T12" s="24">
        <f t="shared" si="20"/>
        <v>8037859</v>
      </c>
      <c r="U12" s="118">
        <v>4474342</v>
      </c>
      <c r="V12" s="84">
        <v>3563517</v>
      </c>
      <c r="W12" s="135">
        <f t="shared" si="15"/>
        <v>0.44334156645445011</v>
      </c>
    </row>
    <row r="13" spans="1:220">
      <c r="A13" s="15">
        <v>2012</v>
      </c>
      <c r="B13" s="528">
        <v>34</v>
      </c>
      <c r="C13" s="528">
        <v>2.75</v>
      </c>
      <c r="D13" s="23">
        <f t="shared" si="16"/>
        <v>36.75</v>
      </c>
      <c r="E13" s="82">
        <f t="shared" si="17"/>
        <v>12</v>
      </c>
      <c r="F13" s="82">
        <f t="shared" si="18"/>
        <v>11</v>
      </c>
      <c r="G13" s="85"/>
      <c r="H13" s="85"/>
      <c r="I13" s="528">
        <v>34</v>
      </c>
      <c r="J13" s="528">
        <v>360</v>
      </c>
      <c r="K13" s="23">
        <f>I13+J13</f>
        <v>394</v>
      </c>
      <c r="L13" s="528">
        <v>181.5</v>
      </c>
      <c r="M13" s="82">
        <f>I13+L13</f>
        <v>215.5</v>
      </c>
      <c r="N13" s="528">
        <v>63</v>
      </c>
      <c r="O13" s="528">
        <v>420.40999999999997</v>
      </c>
      <c r="P13" s="133">
        <f t="shared" si="19"/>
        <v>0.51259484788658694</v>
      </c>
      <c r="Q13" s="528">
        <v>231</v>
      </c>
      <c r="R13" s="528">
        <v>130</v>
      </c>
      <c r="S13" s="84">
        <v>8203931</v>
      </c>
      <c r="T13" s="24">
        <f t="shared" si="20"/>
        <v>8230236</v>
      </c>
      <c r="U13" s="118">
        <v>5847921</v>
      </c>
      <c r="V13" s="84">
        <v>2382315</v>
      </c>
      <c r="W13" s="135">
        <f t="shared" si="15"/>
        <v>0.28945889279481174</v>
      </c>
    </row>
    <row r="14" spans="1:220">
      <c r="A14" s="15" t="s">
        <v>26</v>
      </c>
      <c r="B14" s="528">
        <v>31</v>
      </c>
      <c r="C14" s="528">
        <v>3.25</v>
      </c>
      <c r="D14" s="23">
        <f t="shared" si="16"/>
        <v>34.25</v>
      </c>
      <c r="E14" s="82">
        <f t="shared" si="17"/>
        <v>20</v>
      </c>
      <c r="F14" s="82">
        <f t="shared" si="18"/>
        <v>18</v>
      </c>
      <c r="G14" s="85"/>
      <c r="H14" s="85"/>
      <c r="I14" s="528">
        <v>15</v>
      </c>
      <c r="J14" s="528">
        <v>482</v>
      </c>
      <c r="K14" s="23">
        <v>482</v>
      </c>
      <c r="L14" s="528">
        <v>235</v>
      </c>
      <c r="M14" s="82">
        <f t="shared" ref="M14:M23" si="21">(I14+L14)</f>
        <v>250</v>
      </c>
      <c r="N14" s="528">
        <v>114</v>
      </c>
      <c r="O14" s="528">
        <v>625</v>
      </c>
      <c r="P14" s="133">
        <f t="shared" si="19"/>
        <v>0.4</v>
      </c>
      <c r="Q14" s="528">
        <v>229</v>
      </c>
      <c r="R14" s="528">
        <v>118</v>
      </c>
      <c r="S14" s="84">
        <v>7881518</v>
      </c>
      <c r="T14" s="24">
        <f t="shared" si="20"/>
        <v>8110201</v>
      </c>
      <c r="U14" s="118">
        <v>5900455</v>
      </c>
      <c r="V14" s="84">
        <v>2209746</v>
      </c>
      <c r="W14" s="135">
        <f t="shared" si="15"/>
        <v>0.27246501042329285</v>
      </c>
    </row>
    <row r="15" spans="1:220">
      <c r="A15" s="15" t="s">
        <v>27</v>
      </c>
      <c r="B15" s="528">
        <v>32</v>
      </c>
      <c r="C15" s="528">
        <v>2</v>
      </c>
      <c r="D15" s="23">
        <f t="shared" si="16"/>
        <v>34</v>
      </c>
      <c r="E15" s="82">
        <f t="shared" si="17"/>
        <v>19</v>
      </c>
      <c r="F15" s="82">
        <f t="shared" si="18"/>
        <v>18</v>
      </c>
      <c r="G15" s="85"/>
      <c r="H15" s="85"/>
      <c r="I15" s="528">
        <v>44</v>
      </c>
      <c r="J15" s="528">
        <v>525</v>
      </c>
      <c r="K15" s="23">
        <f t="shared" ref="K15:K23" si="22">SUM(I15:J15)</f>
        <v>569</v>
      </c>
      <c r="L15" s="528">
        <v>260</v>
      </c>
      <c r="M15" s="82">
        <f t="shared" si="21"/>
        <v>304</v>
      </c>
      <c r="N15" s="528">
        <v>121</v>
      </c>
      <c r="O15" s="528">
        <v>606.99</v>
      </c>
      <c r="P15" s="133">
        <f t="shared" si="19"/>
        <v>0.50083197416761394</v>
      </c>
      <c r="Q15" s="528">
        <v>254</v>
      </c>
      <c r="R15" s="528">
        <v>110</v>
      </c>
      <c r="S15" s="84">
        <v>7710614.3199999984</v>
      </c>
      <c r="T15" s="24">
        <f t="shared" si="20"/>
        <v>8332771</v>
      </c>
      <c r="U15" s="84">
        <v>6088830</v>
      </c>
      <c r="V15" s="84">
        <v>2243941</v>
      </c>
      <c r="W15" s="135">
        <f t="shared" si="15"/>
        <v>0.26929109176287214</v>
      </c>
    </row>
    <row r="16" spans="1:220">
      <c r="A16" s="15" t="s">
        <v>28</v>
      </c>
      <c r="B16" s="528">
        <v>32</v>
      </c>
      <c r="C16" s="528">
        <v>3.25</v>
      </c>
      <c r="D16" s="23">
        <f t="shared" si="16"/>
        <v>35.25</v>
      </c>
      <c r="E16" s="82">
        <f t="shared" si="17"/>
        <v>21</v>
      </c>
      <c r="F16" s="82">
        <f t="shared" si="18"/>
        <v>19</v>
      </c>
      <c r="G16" s="85"/>
      <c r="H16" s="85"/>
      <c r="I16" s="528">
        <v>17</v>
      </c>
      <c r="J16" s="528">
        <v>608</v>
      </c>
      <c r="K16" s="23">
        <f t="shared" si="22"/>
        <v>625</v>
      </c>
      <c r="L16" s="528">
        <v>297.58</v>
      </c>
      <c r="M16" s="82">
        <f t="shared" si="21"/>
        <v>314.58</v>
      </c>
      <c r="N16" s="528">
        <v>124</v>
      </c>
      <c r="O16" s="528">
        <v>670.85</v>
      </c>
      <c r="P16" s="133">
        <f t="shared" si="19"/>
        <v>0.46892748006260709</v>
      </c>
      <c r="Q16" s="528">
        <v>295</v>
      </c>
      <c r="R16" s="528">
        <v>139</v>
      </c>
      <c r="S16" s="84">
        <v>7353179.7299999995</v>
      </c>
      <c r="T16" s="24">
        <f t="shared" si="20"/>
        <v>7787637</v>
      </c>
      <c r="U16" s="84">
        <v>5834201</v>
      </c>
      <c r="V16" s="84">
        <v>1953436</v>
      </c>
      <c r="W16" s="135">
        <f t="shared" si="15"/>
        <v>0.25083809119505701</v>
      </c>
    </row>
    <row r="17" spans="1:23">
      <c r="A17" s="15" t="s">
        <v>29</v>
      </c>
      <c r="B17" s="528">
        <v>33</v>
      </c>
      <c r="C17" s="528">
        <v>3.5</v>
      </c>
      <c r="D17" s="23">
        <f t="shared" si="16"/>
        <v>36.5</v>
      </c>
      <c r="E17" s="82">
        <f t="shared" si="17"/>
        <v>21</v>
      </c>
      <c r="F17" s="82">
        <f t="shared" si="18"/>
        <v>19</v>
      </c>
      <c r="G17" s="85"/>
      <c r="H17" s="85"/>
      <c r="I17" s="528">
        <v>14</v>
      </c>
      <c r="J17" s="528">
        <v>607</v>
      </c>
      <c r="K17" s="23">
        <f t="shared" si="22"/>
        <v>621</v>
      </c>
      <c r="L17" s="528">
        <v>290.39999999999998</v>
      </c>
      <c r="M17" s="82">
        <f t="shared" si="21"/>
        <v>304.39999999999998</v>
      </c>
      <c r="N17" s="528">
        <v>109</v>
      </c>
      <c r="O17" s="528">
        <v>678.1</v>
      </c>
      <c r="P17" s="133">
        <f t="shared" si="19"/>
        <v>0.4489013419849579</v>
      </c>
      <c r="Q17" s="528">
        <v>255</v>
      </c>
      <c r="R17" s="528">
        <v>108</v>
      </c>
      <c r="S17" s="84">
        <v>7599291.5999999996</v>
      </c>
      <c r="T17" s="24">
        <f t="shared" si="20"/>
        <v>7816349</v>
      </c>
      <c r="U17" s="84">
        <v>5568717</v>
      </c>
      <c r="V17" s="84">
        <v>2247632</v>
      </c>
      <c r="W17" s="135">
        <f t="shared" si="15"/>
        <v>0.28755522559189717</v>
      </c>
    </row>
    <row r="18" spans="1:23">
      <c r="A18" s="15">
        <v>2007</v>
      </c>
      <c r="B18" s="528">
        <v>34</v>
      </c>
      <c r="C18" s="528">
        <v>1.75</v>
      </c>
      <c r="D18" s="23">
        <f t="shared" si="16"/>
        <v>35.75</v>
      </c>
      <c r="E18" s="82">
        <f t="shared" si="17"/>
        <v>20</v>
      </c>
      <c r="F18" s="82">
        <f t="shared" si="18"/>
        <v>19</v>
      </c>
      <c r="G18" s="85"/>
      <c r="H18" s="85"/>
      <c r="I18" s="528">
        <v>18</v>
      </c>
      <c r="J18" s="528">
        <v>684</v>
      </c>
      <c r="K18" s="23">
        <f t="shared" si="22"/>
        <v>702</v>
      </c>
      <c r="L18" s="528">
        <v>325.7</v>
      </c>
      <c r="M18" s="82">
        <f t="shared" si="21"/>
        <v>343.7</v>
      </c>
      <c r="N18" s="528">
        <v>146</v>
      </c>
      <c r="O18" s="528">
        <v>688</v>
      </c>
      <c r="P18" s="249">
        <f t="shared" si="19"/>
        <v>0.49956395348837207</v>
      </c>
      <c r="Q18" s="528">
        <v>250</v>
      </c>
      <c r="R18" s="528">
        <v>122</v>
      </c>
      <c r="S18" s="132">
        <v>6318546</v>
      </c>
      <c r="T18" s="24">
        <f t="shared" si="20"/>
        <v>7184093</v>
      </c>
      <c r="U18" s="132">
        <v>5265826</v>
      </c>
      <c r="V18" s="132">
        <v>1918267</v>
      </c>
      <c r="W18" s="135">
        <f t="shared" si="15"/>
        <v>0.26701589191565311</v>
      </c>
    </row>
    <row r="19" spans="1:23">
      <c r="A19" s="15">
        <v>2006</v>
      </c>
      <c r="B19" s="528">
        <v>34</v>
      </c>
      <c r="C19" s="528">
        <v>7</v>
      </c>
      <c r="D19" s="23">
        <f t="shared" si="16"/>
        <v>41</v>
      </c>
      <c r="E19" s="82">
        <f t="shared" si="17"/>
        <v>21</v>
      </c>
      <c r="F19" s="82">
        <f t="shared" si="18"/>
        <v>17</v>
      </c>
      <c r="G19" s="85"/>
      <c r="H19" s="85"/>
      <c r="I19" s="528">
        <v>40</v>
      </c>
      <c r="J19" s="528">
        <v>675</v>
      </c>
      <c r="K19" s="23">
        <f t="shared" si="22"/>
        <v>715</v>
      </c>
      <c r="L19" s="528">
        <v>331</v>
      </c>
      <c r="M19" s="82">
        <f t="shared" si="21"/>
        <v>371</v>
      </c>
      <c r="N19" s="528">
        <v>138</v>
      </c>
      <c r="O19" s="528">
        <v>700</v>
      </c>
      <c r="P19" s="249">
        <f t="shared" si="19"/>
        <v>0.53</v>
      </c>
      <c r="Q19" s="528">
        <v>173</v>
      </c>
      <c r="R19" s="528">
        <v>8</v>
      </c>
      <c r="S19" s="132">
        <v>5304749</v>
      </c>
      <c r="T19" s="24">
        <f t="shared" si="20"/>
        <v>7144953.1800000006</v>
      </c>
      <c r="U19" s="132">
        <v>5414008.9800000004</v>
      </c>
      <c r="V19" s="132">
        <v>1730944.2</v>
      </c>
      <c r="W19" s="135">
        <f t="shared" si="15"/>
        <v>0.24226109764374967</v>
      </c>
    </row>
    <row r="20" spans="1:23">
      <c r="A20" s="15">
        <v>2005</v>
      </c>
      <c r="B20" s="528">
        <v>32</v>
      </c>
      <c r="C20" s="528">
        <v>5</v>
      </c>
      <c r="D20" s="23">
        <f t="shared" si="16"/>
        <v>37</v>
      </c>
      <c r="E20" s="82">
        <f t="shared" si="17"/>
        <v>19</v>
      </c>
      <c r="F20" s="82">
        <f t="shared" si="18"/>
        <v>17</v>
      </c>
      <c r="G20" s="85"/>
      <c r="H20" s="85"/>
      <c r="I20" s="528">
        <v>38</v>
      </c>
      <c r="J20" s="528">
        <v>616</v>
      </c>
      <c r="K20" s="23">
        <f t="shared" si="22"/>
        <v>654</v>
      </c>
      <c r="L20" s="528">
        <v>297</v>
      </c>
      <c r="M20" s="82">
        <f t="shared" si="21"/>
        <v>335</v>
      </c>
      <c r="N20" s="528">
        <v>120</v>
      </c>
      <c r="O20" s="528">
        <v>620</v>
      </c>
      <c r="P20" s="249">
        <f t="shared" si="19"/>
        <v>0.54032258064516125</v>
      </c>
      <c r="Q20" s="528">
        <v>153</v>
      </c>
      <c r="R20" s="528">
        <v>229</v>
      </c>
      <c r="S20" s="132">
        <v>4533613.3600000003</v>
      </c>
      <c r="T20" s="24">
        <f t="shared" si="20"/>
        <v>5613923.71</v>
      </c>
      <c r="U20" s="132">
        <v>4310396.07</v>
      </c>
      <c r="V20" s="132">
        <v>1303527.6399999999</v>
      </c>
      <c r="W20" s="135">
        <f t="shared" si="15"/>
        <v>0.23219546743715902</v>
      </c>
    </row>
    <row r="21" spans="1:23">
      <c r="A21" s="15">
        <v>2004</v>
      </c>
      <c r="B21" s="528">
        <v>32</v>
      </c>
      <c r="C21" s="528">
        <v>4</v>
      </c>
      <c r="D21" s="23">
        <f t="shared" si="16"/>
        <v>36</v>
      </c>
      <c r="E21" s="82">
        <f t="shared" si="17"/>
        <v>27</v>
      </c>
      <c r="F21" s="82">
        <f t="shared" si="18"/>
        <v>24</v>
      </c>
      <c r="G21" s="85"/>
      <c r="H21" s="85"/>
      <c r="I21" s="528">
        <v>147</v>
      </c>
      <c r="J21" s="528">
        <v>443</v>
      </c>
      <c r="K21" s="23">
        <f t="shared" si="22"/>
        <v>590</v>
      </c>
      <c r="L21" s="528">
        <v>240</v>
      </c>
      <c r="M21" s="82">
        <f t="shared" si="21"/>
        <v>387</v>
      </c>
      <c r="N21" s="528">
        <v>113</v>
      </c>
      <c r="O21" s="528">
        <v>879</v>
      </c>
      <c r="P21" s="249">
        <f t="shared" si="19"/>
        <v>0.44027303754266212</v>
      </c>
      <c r="Q21" s="528">
        <v>144</v>
      </c>
      <c r="R21" s="528">
        <v>220</v>
      </c>
      <c r="S21" s="132">
        <v>4794448</v>
      </c>
      <c r="T21" s="24">
        <f t="shared" si="20"/>
        <v>4742137.6500000004</v>
      </c>
      <c r="U21" s="132">
        <v>3718961.46</v>
      </c>
      <c r="V21" s="132">
        <v>1023176.19</v>
      </c>
      <c r="W21" s="135">
        <f t="shared" si="15"/>
        <v>0.21576265083743401</v>
      </c>
    </row>
    <row r="22" spans="1:23">
      <c r="A22" s="15">
        <v>2003</v>
      </c>
      <c r="B22" s="528">
        <v>34</v>
      </c>
      <c r="C22" s="528">
        <f>ROUND(4.5, 0)</f>
        <v>5</v>
      </c>
      <c r="D22" s="23">
        <f t="shared" si="16"/>
        <v>39</v>
      </c>
      <c r="E22" s="82">
        <f t="shared" si="17"/>
        <v>28</v>
      </c>
      <c r="F22" s="82">
        <f t="shared" si="18"/>
        <v>24</v>
      </c>
      <c r="G22" s="85"/>
      <c r="H22" s="85"/>
      <c r="I22" s="528">
        <v>146</v>
      </c>
      <c r="J22" s="528">
        <v>328</v>
      </c>
      <c r="K22" s="23">
        <f t="shared" si="22"/>
        <v>474</v>
      </c>
      <c r="L22" s="528">
        <f>ROUND(173.77, 0)</f>
        <v>174</v>
      </c>
      <c r="M22" s="82">
        <f t="shared" si="21"/>
        <v>320</v>
      </c>
      <c r="N22" s="528">
        <v>99</v>
      </c>
      <c r="O22" s="528">
        <v>939</v>
      </c>
      <c r="P22" s="249">
        <f t="shared" si="19"/>
        <v>0.34078807241746539</v>
      </c>
      <c r="Q22" s="528">
        <v>122</v>
      </c>
      <c r="R22" s="528">
        <v>179</v>
      </c>
      <c r="S22" s="132">
        <v>4400696</v>
      </c>
      <c r="T22" s="24">
        <f t="shared" si="20"/>
        <v>4532269</v>
      </c>
      <c r="U22" s="132">
        <v>3934955</v>
      </c>
      <c r="V22" s="132">
        <v>597314</v>
      </c>
      <c r="W22" s="135">
        <f t="shared" si="15"/>
        <v>0.13179138307986574</v>
      </c>
    </row>
    <row r="23" spans="1:23">
      <c r="A23" s="15">
        <v>2002</v>
      </c>
      <c r="B23" s="528">
        <v>33</v>
      </c>
      <c r="C23" s="528">
        <f>ROUND(2.55, 0)</f>
        <v>3</v>
      </c>
      <c r="D23" s="23">
        <f t="shared" si="16"/>
        <v>36</v>
      </c>
      <c r="E23" s="82">
        <f t="shared" si="17"/>
        <v>27</v>
      </c>
      <c r="F23" s="82">
        <f t="shared" si="18"/>
        <v>25</v>
      </c>
      <c r="G23" s="85"/>
      <c r="H23" s="85"/>
      <c r="I23" s="528">
        <v>146</v>
      </c>
      <c r="J23" s="528">
        <v>360</v>
      </c>
      <c r="K23" s="23">
        <f t="shared" si="22"/>
        <v>506</v>
      </c>
      <c r="L23" s="528">
        <f>ROUND(191.89, 0)</f>
        <v>192</v>
      </c>
      <c r="M23" s="82">
        <f t="shared" si="21"/>
        <v>338</v>
      </c>
      <c r="N23" s="528">
        <v>88</v>
      </c>
      <c r="O23" s="528">
        <f>ROUND(886.73, 0)</f>
        <v>887</v>
      </c>
      <c r="P23" s="249">
        <f t="shared" si="19"/>
        <v>0.38105975197294251</v>
      </c>
      <c r="Q23" s="528">
        <v>163</v>
      </c>
      <c r="R23" s="528">
        <v>257</v>
      </c>
      <c r="S23" s="132">
        <v>4123896.52</v>
      </c>
      <c r="T23" s="24">
        <f t="shared" si="20"/>
        <v>4368482</v>
      </c>
      <c r="U23" s="132">
        <v>3649980</v>
      </c>
      <c r="V23" s="132">
        <v>718502</v>
      </c>
      <c r="W23" s="135">
        <f t="shared" si="15"/>
        <v>0.1644740667353099</v>
      </c>
    </row>
    <row r="24" spans="1:23" ht="31.9" customHeight="1">
      <c r="A24" s="538" t="s">
        <v>80</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3" s="12" customFormat="1"/>
    <row r="26" spans="1:23" s="12" customFormat="1"/>
    <row r="27" spans="1:23" s="12" customFormat="1"/>
    <row r="28" spans="1:23" s="12" customFormat="1"/>
    <row r="29" spans="1:23" s="12" customFormat="1"/>
    <row r="30" spans="1:23" s="12" customFormat="1"/>
    <row r="31" spans="1:23" s="12" customFormat="1"/>
    <row r="32" spans="1:23" s="12" customFormat="1"/>
    <row r="33" s="12" customFormat="1"/>
    <row r="34" s="12" customFormat="1"/>
    <row r="35" s="12" customFormat="1"/>
  </sheetData>
  <mergeCells count="1">
    <mergeCell ref="A24:W24"/>
  </mergeCells>
  <printOptions headings="1" gridLines="1"/>
  <pageMargins left="0.5" right="0.5" top="0.5" bottom="0.5" header="0" footer="0"/>
  <pageSetup paperSize="5" scale="66" orientation="landscape" r:id="rId1"/>
  <legacy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M35"/>
  <sheetViews>
    <sheetView zoomScaleNormal="100" workbookViewId="0">
      <selection activeCell="J24" sqref="J24"/>
    </sheetView>
  </sheetViews>
  <sheetFormatPr defaultColWidth="8.85546875" defaultRowHeight="15"/>
  <cols>
    <col min="1" max="1" width="9.7109375" customWidth="1"/>
    <col min="2" max="2" width="10.140625" bestFit="1" customWidth="1"/>
    <col min="3" max="3" width="8.42578125" bestFit="1" customWidth="1"/>
    <col min="4" max="4" width="9.28515625" bestFit="1" customWidth="1"/>
    <col min="5" max="5" width="11.42578125"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3" customWidth="1"/>
    <col min="22" max="22" width="10.85546875" bestFit="1" customWidth="1"/>
    <col min="23" max="23" width="12.85546875" bestFit="1" customWidth="1"/>
  </cols>
  <sheetData>
    <row r="1" spans="1:221" s="7" customFormat="1" ht="18.75">
      <c r="A1" s="1" t="s">
        <v>81</v>
      </c>
      <c r="B1" s="2"/>
      <c r="C1" s="1"/>
      <c r="D1" s="1"/>
      <c r="E1" s="1"/>
      <c r="F1" s="1"/>
      <c r="G1" s="1"/>
      <c r="H1" s="1"/>
      <c r="I1" s="1"/>
      <c r="J1" s="1"/>
      <c r="K1" s="1"/>
      <c r="L1" s="1"/>
      <c r="M1" s="1"/>
      <c r="N1" s="1"/>
      <c r="O1" s="1"/>
      <c r="P1" s="1"/>
      <c r="Q1" s="1"/>
      <c r="R1" s="1"/>
      <c r="S1" s="1"/>
      <c r="T1" s="1"/>
      <c r="U1" s="1"/>
      <c r="V1" s="1"/>
      <c r="W1" s="1"/>
    </row>
    <row r="2" spans="1:221"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1">
      <c r="A3" s="435">
        <v>2022</v>
      </c>
      <c r="B3" s="54">
        <v>6</v>
      </c>
      <c r="C3" s="54">
        <v>1</v>
      </c>
      <c r="D3" s="430">
        <v>7</v>
      </c>
      <c r="E3" s="430">
        <v>6</v>
      </c>
      <c r="F3" s="430">
        <v>5</v>
      </c>
      <c r="G3" s="66">
        <v>6</v>
      </c>
      <c r="H3" s="66">
        <v>1</v>
      </c>
      <c r="I3" s="66">
        <v>20</v>
      </c>
      <c r="J3" s="66">
        <v>27</v>
      </c>
      <c r="K3" s="430">
        <v>47</v>
      </c>
      <c r="L3" s="66">
        <v>16.7</v>
      </c>
      <c r="M3" s="430">
        <v>39</v>
      </c>
      <c r="N3" s="66">
        <v>37</v>
      </c>
      <c r="O3" s="66">
        <v>39</v>
      </c>
      <c r="P3" s="431">
        <v>1</v>
      </c>
      <c r="Q3" s="66">
        <v>21</v>
      </c>
      <c r="R3" s="66">
        <v>0</v>
      </c>
      <c r="S3" s="326">
        <v>955727</v>
      </c>
      <c r="T3" s="432">
        <v>955727</v>
      </c>
      <c r="U3" s="326">
        <v>955727</v>
      </c>
      <c r="V3" s="326">
        <v>0</v>
      </c>
      <c r="W3" s="433">
        <v>0</v>
      </c>
      <c r="X3" s="434"/>
      <c r="Y3" s="434"/>
      <c r="Z3" s="434"/>
      <c r="AA3" s="434"/>
      <c r="AB3" s="434"/>
      <c r="AC3" s="434"/>
      <c r="AD3" s="434"/>
      <c r="AE3" s="434"/>
      <c r="AF3" s="434"/>
      <c r="AG3" s="434"/>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434"/>
      <c r="BK3" s="434"/>
      <c r="BL3" s="434"/>
      <c r="BM3" s="434"/>
      <c r="BN3" s="434"/>
      <c r="BO3" s="434"/>
      <c r="BP3" s="434"/>
      <c r="BQ3" s="434"/>
      <c r="BR3" s="434"/>
      <c r="BS3" s="434"/>
      <c r="BT3" s="434"/>
      <c r="BU3" s="434"/>
      <c r="BV3" s="434"/>
      <c r="BW3" s="434"/>
      <c r="BX3" s="434"/>
      <c r="BY3" s="434"/>
      <c r="BZ3" s="434"/>
      <c r="CA3" s="434"/>
      <c r="CB3" s="434"/>
      <c r="CC3" s="434"/>
      <c r="CD3" s="434"/>
      <c r="CE3" s="434"/>
      <c r="CF3" s="434"/>
      <c r="CG3" s="434"/>
      <c r="CH3" s="434"/>
      <c r="CI3" s="434"/>
      <c r="CJ3" s="434"/>
      <c r="CK3" s="434"/>
      <c r="CL3" s="434"/>
      <c r="CM3" s="434"/>
      <c r="CN3" s="434"/>
      <c r="CO3" s="434"/>
      <c r="CP3" s="434"/>
      <c r="CQ3" s="434"/>
      <c r="CR3" s="434"/>
      <c r="CS3" s="434"/>
      <c r="CT3" s="434"/>
      <c r="CU3" s="434"/>
      <c r="CV3" s="434"/>
      <c r="CW3" s="434"/>
      <c r="CX3" s="434"/>
      <c r="CY3" s="434"/>
      <c r="CZ3" s="434"/>
      <c r="DA3" s="434"/>
      <c r="DB3" s="434"/>
      <c r="DC3" s="434"/>
      <c r="DD3" s="434"/>
      <c r="DE3" s="434"/>
      <c r="DF3" s="434"/>
      <c r="DG3" s="434"/>
      <c r="DH3" s="434"/>
      <c r="DI3" s="434"/>
      <c r="DJ3" s="434"/>
      <c r="DK3" s="434"/>
      <c r="DL3" s="434"/>
      <c r="DM3" s="434"/>
      <c r="DN3" s="434"/>
      <c r="DO3" s="434"/>
      <c r="DP3" s="434"/>
      <c r="DQ3" s="434"/>
      <c r="DR3" s="434"/>
      <c r="DS3" s="434"/>
      <c r="DT3" s="434"/>
      <c r="DU3" s="434"/>
      <c r="DV3" s="434"/>
      <c r="DW3" s="434"/>
      <c r="DX3" s="434"/>
      <c r="DY3" s="434"/>
      <c r="DZ3" s="434"/>
      <c r="EA3" s="434"/>
      <c r="EB3" s="434"/>
      <c r="EC3" s="434"/>
      <c r="ED3" s="434"/>
      <c r="EE3" s="434"/>
      <c r="EF3" s="434"/>
      <c r="EG3" s="434"/>
      <c r="EH3" s="434"/>
      <c r="EI3" s="434"/>
      <c r="EJ3" s="434"/>
      <c r="EK3" s="434"/>
      <c r="EL3" s="434"/>
      <c r="EM3" s="434"/>
      <c r="EN3" s="434"/>
      <c r="EO3" s="434"/>
      <c r="EP3" s="434"/>
      <c r="EQ3" s="434"/>
      <c r="ER3" s="434"/>
      <c r="ES3" s="434"/>
      <c r="ET3" s="434"/>
      <c r="EU3" s="434"/>
      <c r="EV3" s="434"/>
      <c r="EW3" s="434"/>
      <c r="EX3" s="434"/>
      <c r="EY3" s="434"/>
      <c r="EZ3" s="434"/>
      <c r="FA3" s="434"/>
      <c r="FB3" s="434"/>
      <c r="FC3" s="434"/>
      <c r="FD3" s="434"/>
      <c r="FE3" s="434"/>
      <c r="FF3" s="434"/>
      <c r="FG3" s="434"/>
      <c r="FH3" s="434"/>
      <c r="FI3" s="434"/>
      <c r="FJ3" s="434"/>
      <c r="FK3" s="434"/>
      <c r="FL3" s="434"/>
      <c r="FM3" s="434"/>
      <c r="FN3" s="434"/>
      <c r="FO3" s="434"/>
      <c r="FP3" s="434"/>
      <c r="FQ3" s="434"/>
      <c r="FR3" s="434"/>
      <c r="FS3" s="434"/>
      <c r="FT3" s="434"/>
      <c r="FU3" s="434"/>
      <c r="FV3" s="434"/>
      <c r="FW3" s="434"/>
      <c r="FX3" s="434"/>
      <c r="FY3" s="434"/>
      <c r="FZ3" s="434"/>
      <c r="GA3" s="434"/>
      <c r="GB3" s="434"/>
      <c r="GC3" s="434"/>
      <c r="GD3" s="434"/>
      <c r="GE3" s="434"/>
      <c r="GF3" s="434"/>
      <c r="GG3" s="434"/>
      <c r="GH3" s="434"/>
      <c r="GI3" s="434"/>
      <c r="GJ3" s="434"/>
      <c r="GK3" s="434"/>
      <c r="GL3" s="434"/>
      <c r="GM3" s="434"/>
      <c r="GN3" s="434"/>
      <c r="GO3" s="434"/>
      <c r="GP3" s="434"/>
      <c r="GQ3" s="434"/>
      <c r="GR3" s="434"/>
      <c r="GS3" s="434"/>
      <c r="GT3" s="434"/>
      <c r="GU3" s="434"/>
      <c r="GV3" s="434"/>
      <c r="GW3" s="434"/>
      <c r="GX3" s="434"/>
      <c r="GY3" s="434"/>
      <c r="GZ3" s="434"/>
      <c r="HA3" s="434"/>
      <c r="HB3" s="434"/>
      <c r="HC3" s="434"/>
      <c r="HD3" s="434"/>
      <c r="HE3" s="434"/>
      <c r="HF3" s="434"/>
      <c r="HG3" s="434"/>
      <c r="HH3" s="434"/>
      <c r="HI3" s="434"/>
      <c r="HJ3" s="434"/>
      <c r="HK3" s="434"/>
      <c r="HL3" s="434"/>
      <c r="HM3" s="434"/>
    </row>
    <row r="4" spans="1:221">
      <c r="A4" s="105">
        <v>2021</v>
      </c>
      <c r="B4" s="66">
        <v>6</v>
      </c>
      <c r="C4" s="66">
        <v>2</v>
      </c>
      <c r="D4" s="106">
        <f>SUM(B4:C4)</f>
        <v>8</v>
      </c>
      <c r="E4" s="106">
        <f>ROUND((O4/B4),0)</f>
        <v>7</v>
      </c>
      <c r="F4" s="106">
        <f>ROUND((O4/D4), 0)</f>
        <v>5</v>
      </c>
      <c r="G4" s="66">
        <v>6</v>
      </c>
      <c r="H4" s="66">
        <v>2</v>
      </c>
      <c r="I4" s="66">
        <v>26</v>
      </c>
      <c r="J4" s="66">
        <v>21</v>
      </c>
      <c r="K4" s="106">
        <f>SUM(I4:J4)</f>
        <v>47</v>
      </c>
      <c r="L4" s="66">
        <v>13</v>
      </c>
      <c r="M4" s="106">
        <f>(I4+L4)</f>
        <v>39</v>
      </c>
      <c r="N4" s="66">
        <v>32</v>
      </c>
      <c r="O4" s="66">
        <v>39</v>
      </c>
      <c r="P4" s="436">
        <f>M4/O4</f>
        <v>1</v>
      </c>
      <c r="Q4" s="66">
        <v>15</v>
      </c>
      <c r="R4" s="66">
        <v>0</v>
      </c>
      <c r="S4" s="326">
        <v>946191</v>
      </c>
      <c r="T4" s="398">
        <v>946191</v>
      </c>
      <c r="U4" s="326">
        <v>946191</v>
      </c>
      <c r="V4" s="326">
        <v>0</v>
      </c>
      <c r="W4" s="303">
        <f>V4/T4</f>
        <v>0</v>
      </c>
    </row>
    <row r="5" spans="1:221">
      <c r="A5" s="105">
        <v>2020</v>
      </c>
      <c r="B5" s="66">
        <v>6</v>
      </c>
      <c r="C5" s="66">
        <v>2</v>
      </c>
      <c r="D5" s="106">
        <v>8</v>
      </c>
      <c r="E5" s="106">
        <v>8</v>
      </c>
      <c r="F5" s="106">
        <v>6</v>
      </c>
      <c r="G5" s="66">
        <v>6</v>
      </c>
      <c r="H5" s="66">
        <v>2</v>
      </c>
      <c r="I5" s="66">
        <v>26</v>
      </c>
      <c r="J5" s="66">
        <v>26</v>
      </c>
      <c r="K5" s="106">
        <v>52</v>
      </c>
      <c r="L5" s="66">
        <v>17.399999999999999</v>
      </c>
      <c r="M5" s="106">
        <v>43.4</v>
      </c>
      <c r="N5" s="66">
        <v>63</v>
      </c>
      <c r="O5" s="66">
        <v>52</v>
      </c>
      <c r="P5" s="436">
        <f>M5/O5</f>
        <v>0.83461538461538454</v>
      </c>
      <c r="Q5" s="66">
        <v>17</v>
      </c>
      <c r="R5" s="66">
        <v>0</v>
      </c>
      <c r="S5" s="326">
        <v>949133</v>
      </c>
      <c r="T5" s="398">
        <v>949133</v>
      </c>
      <c r="U5" s="326">
        <v>949133</v>
      </c>
      <c r="V5" s="326">
        <v>0</v>
      </c>
      <c r="W5" s="303">
        <f>V5/T5</f>
        <v>0</v>
      </c>
    </row>
    <row r="6" spans="1:221">
      <c r="A6" s="105">
        <v>2019</v>
      </c>
      <c r="B6" s="66">
        <v>6</v>
      </c>
      <c r="C6" s="66">
        <v>2</v>
      </c>
      <c r="D6" s="106">
        <v>8</v>
      </c>
      <c r="E6" s="106">
        <v>8</v>
      </c>
      <c r="F6" s="106">
        <v>6</v>
      </c>
      <c r="G6" s="66">
        <v>6</v>
      </c>
      <c r="H6" s="66">
        <v>2</v>
      </c>
      <c r="I6" s="66">
        <v>17</v>
      </c>
      <c r="J6" s="66">
        <v>31</v>
      </c>
      <c r="K6" s="106">
        <v>48</v>
      </c>
      <c r="L6" s="66">
        <v>11.16</v>
      </c>
      <c r="M6" s="153">
        <f>(I7+L7)</f>
        <v>41.5</v>
      </c>
      <c r="N6" s="66">
        <v>39</v>
      </c>
      <c r="O6" s="437">
        <v>48</v>
      </c>
      <c r="P6" s="438">
        <f>M6/O6</f>
        <v>0.86458333333333337</v>
      </c>
      <c r="Q6" s="66">
        <v>14</v>
      </c>
      <c r="R6" s="66">
        <v>0</v>
      </c>
      <c r="S6" s="326">
        <v>850229</v>
      </c>
      <c r="T6" s="398">
        <v>850229</v>
      </c>
      <c r="U6" s="326">
        <v>850229</v>
      </c>
      <c r="V6" s="326">
        <v>0</v>
      </c>
      <c r="W6" s="303">
        <f>V6/T6</f>
        <v>0</v>
      </c>
    </row>
    <row r="7" spans="1:221" s="14" customFormat="1">
      <c r="A7" s="10">
        <v>2018</v>
      </c>
      <c r="B7" s="17">
        <v>5</v>
      </c>
      <c r="C7" s="17">
        <v>2.5</v>
      </c>
      <c r="D7" s="23">
        <f>SUM(B7:C7)</f>
        <v>7.5</v>
      </c>
      <c r="E7" s="82">
        <f>ROUND((O7/B7), 0)</f>
        <v>10</v>
      </c>
      <c r="F7" s="82">
        <f>ROUND((O7/D7), 0)</f>
        <v>7</v>
      </c>
      <c r="G7" s="17">
        <v>5</v>
      </c>
      <c r="H7" s="17">
        <v>2.5</v>
      </c>
      <c r="I7" s="17">
        <v>27</v>
      </c>
      <c r="J7" s="17">
        <v>25</v>
      </c>
      <c r="K7" s="23">
        <f t="shared" ref="K7" si="0">SUM(I7:J7)</f>
        <v>52</v>
      </c>
      <c r="L7" s="17">
        <v>14.5</v>
      </c>
      <c r="M7" s="82">
        <f>(I7+L7)</f>
        <v>41.5</v>
      </c>
      <c r="N7" s="17">
        <v>36</v>
      </c>
      <c r="O7" s="17">
        <v>52</v>
      </c>
      <c r="P7" s="133">
        <f>M7/O7</f>
        <v>0.79807692307692313</v>
      </c>
      <c r="Q7" s="17">
        <v>23</v>
      </c>
      <c r="R7" s="17">
        <v>0</v>
      </c>
      <c r="S7" s="20">
        <v>818964</v>
      </c>
      <c r="T7" s="24">
        <f>SUM(U7:V7)</f>
        <v>818964</v>
      </c>
      <c r="U7" s="20">
        <v>818964</v>
      </c>
      <c r="V7" s="20">
        <v>0</v>
      </c>
      <c r="W7" s="135">
        <f>V7/T7</f>
        <v>0</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1" s="9" customFormat="1">
      <c r="A8" s="10">
        <v>2017</v>
      </c>
      <c r="B8" s="17">
        <v>5</v>
      </c>
      <c r="C8" s="17">
        <v>2.5</v>
      </c>
      <c r="D8" s="27">
        <f>SUM(B8:C8)</f>
        <v>7.5</v>
      </c>
      <c r="E8" s="27">
        <f>ROUND((O8/B8), 0)</f>
        <v>12</v>
      </c>
      <c r="F8" s="27">
        <f>ROUND((O8/D8), 0)</f>
        <v>8</v>
      </c>
      <c r="G8" s="17">
        <v>5</v>
      </c>
      <c r="H8" s="17">
        <v>2.5</v>
      </c>
      <c r="I8" s="17">
        <v>34</v>
      </c>
      <c r="J8" s="17">
        <v>29</v>
      </c>
      <c r="K8" s="27">
        <f>SUM(I8:J8)</f>
        <v>63</v>
      </c>
      <c r="L8" s="17">
        <v>17</v>
      </c>
      <c r="M8" s="29">
        <f>(I8+L8)</f>
        <v>51</v>
      </c>
      <c r="N8" s="255">
        <v>48</v>
      </c>
      <c r="O8" s="255">
        <v>61</v>
      </c>
      <c r="P8" s="133">
        <f t="shared" ref="P8:P23" si="1">M8/O8</f>
        <v>0.83606557377049184</v>
      </c>
      <c r="Q8" s="17">
        <v>32</v>
      </c>
      <c r="R8" s="17">
        <v>0</v>
      </c>
      <c r="S8" s="223">
        <v>1031357</v>
      </c>
      <c r="T8" s="28">
        <f>SUM(U8:V8)</f>
        <v>1031357</v>
      </c>
      <c r="U8" s="252">
        <v>1031357</v>
      </c>
      <c r="V8" s="20">
        <v>0</v>
      </c>
      <c r="W8" s="135">
        <f t="shared" ref="W8:W20" si="2">V8/T8</f>
        <v>0</v>
      </c>
    </row>
    <row r="9" spans="1:221" s="72" customFormat="1">
      <c r="A9" s="10">
        <v>2016</v>
      </c>
      <c r="B9" s="54">
        <v>6</v>
      </c>
      <c r="C9" s="54">
        <v>3</v>
      </c>
      <c r="D9" s="65">
        <f>B9+C9</f>
        <v>9</v>
      </c>
      <c r="E9" s="13">
        <f>ROUND((O9/B9), 0)</f>
        <v>14</v>
      </c>
      <c r="F9" s="13">
        <f>ROUND((O9/D9), 0)</f>
        <v>9</v>
      </c>
      <c r="G9" s="54">
        <v>6</v>
      </c>
      <c r="H9" s="54">
        <v>3</v>
      </c>
      <c r="I9" s="54">
        <v>69</v>
      </c>
      <c r="J9" s="54">
        <v>24</v>
      </c>
      <c r="K9" s="65">
        <f>I9+J9</f>
        <v>93</v>
      </c>
      <c r="L9" s="54">
        <v>16</v>
      </c>
      <c r="M9" s="13">
        <f>I9+L9</f>
        <v>85</v>
      </c>
      <c r="N9" s="54">
        <v>49</v>
      </c>
      <c r="O9" s="54">
        <v>85</v>
      </c>
      <c r="P9" s="133">
        <f t="shared" si="1"/>
        <v>1</v>
      </c>
      <c r="Q9" s="54">
        <v>21</v>
      </c>
      <c r="R9" s="54">
        <v>0</v>
      </c>
      <c r="S9" s="55">
        <v>1107225</v>
      </c>
      <c r="T9" s="68">
        <f>SUM(U9:V9)</f>
        <v>1137184</v>
      </c>
      <c r="U9" s="155">
        <v>1137184</v>
      </c>
      <c r="V9" s="55">
        <v>0</v>
      </c>
      <c r="W9" s="135">
        <f t="shared" si="2"/>
        <v>0</v>
      </c>
    </row>
    <row r="10" spans="1:221">
      <c r="A10" s="15">
        <v>2015</v>
      </c>
      <c r="B10" s="70">
        <v>7</v>
      </c>
      <c r="C10" s="70">
        <v>1.65</v>
      </c>
      <c r="D10" s="65">
        <v>8.65</v>
      </c>
      <c r="E10" s="65">
        <v>14</v>
      </c>
      <c r="F10" s="65">
        <v>11.3</v>
      </c>
      <c r="G10" s="83"/>
      <c r="H10" s="83"/>
      <c r="I10" s="70">
        <v>78</v>
      </c>
      <c r="J10" s="70">
        <v>32</v>
      </c>
      <c r="K10" s="65">
        <v>110</v>
      </c>
      <c r="L10" s="70">
        <v>20</v>
      </c>
      <c r="M10" s="65">
        <v>98</v>
      </c>
      <c r="N10" s="70">
        <v>63</v>
      </c>
      <c r="O10" s="70">
        <v>98</v>
      </c>
      <c r="P10" s="133">
        <f t="shared" si="1"/>
        <v>1</v>
      </c>
      <c r="Q10" s="70">
        <v>20</v>
      </c>
      <c r="R10" s="70">
        <v>0</v>
      </c>
      <c r="S10" s="78">
        <v>1091508</v>
      </c>
      <c r="T10" s="79">
        <v>1078290</v>
      </c>
      <c r="U10" s="78">
        <v>1078290</v>
      </c>
      <c r="V10" s="78">
        <v>0</v>
      </c>
      <c r="W10" s="135">
        <f t="shared" si="2"/>
        <v>0</v>
      </c>
    </row>
    <row r="11" spans="1:221">
      <c r="A11" s="15">
        <v>2014</v>
      </c>
      <c r="B11" s="70">
        <v>6</v>
      </c>
      <c r="C11" s="70">
        <v>2.5</v>
      </c>
      <c r="D11" s="65">
        <f>B11+C11</f>
        <v>8.5</v>
      </c>
      <c r="E11" s="13">
        <f t="shared" ref="E11:E23" si="3">ROUND((O11/B11), 0)</f>
        <v>9</v>
      </c>
      <c r="F11" s="13">
        <f t="shared" ref="F11:F23" si="4">ROUND((O11/D11), 0)</f>
        <v>6</v>
      </c>
      <c r="G11" s="83"/>
      <c r="H11" s="83"/>
      <c r="I11" s="70">
        <v>33</v>
      </c>
      <c r="J11" s="70">
        <v>41</v>
      </c>
      <c r="K11" s="65">
        <f>I11+J11</f>
        <v>74</v>
      </c>
      <c r="L11" s="70">
        <v>21</v>
      </c>
      <c r="M11" s="13">
        <f>I11+L11</f>
        <v>54</v>
      </c>
      <c r="N11" s="70">
        <v>50</v>
      </c>
      <c r="O11" s="70">
        <v>54</v>
      </c>
      <c r="P11" s="133">
        <f t="shared" si="1"/>
        <v>1</v>
      </c>
      <c r="Q11" s="70">
        <v>24</v>
      </c>
      <c r="R11" s="70">
        <v>0</v>
      </c>
      <c r="S11" s="71">
        <v>1455978</v>
      </c>
      <c r="T11" s="68">
        <f t="shared" ref="T11:T20" si="5">SUM(U11:V11)</f>
        <v>1139854</v>
      </c>
      <c r="U11" s="71">
        <v>1139854</v>
      </c>
      <c r="V11" s="71">
        <v>0</v>
      </c>
      <c r="W11" s="135">
        <f t="shared" si="2"/>
        <v>0</v>
      </c>
    </row>
    <row r="12" spans="1:221">
      <c r="A12" s="10">
        <v>2013</v>
      </c>
      <c r="B12" s="528">
        <v>7</v>
      </c>
      <c r="C12" s="528">
        <v>2.2999999999999998</v>
      </c>
      <c r="D12" s="23">
        <f>B12+C12</f>
        <v>9.3000000000000007</v>
      </c>
      <c r="E12" s="82">
        <f t="shared" si="3"/>
        <v>13</v>
      </c>
      <c r="F12" s="82">
        <f t="shared" si="4"/>
        <v>10</v>
      </c>
      <c r="G12" s="85"/>
      <c r="H12" s="85"/>
      <c r="I12" s="528">
        <v>43</v>
      </c>
      <c r="J12" s="528">
        <v>42</v>
      </c>
      <c r="K12" s="23">
        <f>I12+J12</f>
        <v>85</v>
      </c>
      <c r="L12" s="528">
        <v>24.6</v>
      </c>
      <c r="M12" s="82">
        <f>I12+L12</f>
        <v>67.599999999999994</v>
      </c>
      <c r="N12" s="528">
        <v>8</v>
      </c>
      <c r="O12" s="528">
        <v>89.02</v>
      </c>
      <c r="P12" s="133">
        <f t="shared" si="1"/>
        <v>0.75937991462592669</v>
      </c>
      <c r="Q12" s="528">
        <v>28</v>
      </c>
      <c r="R12" s="528">
        <v>0</v>
      </c>
      <c r="S12" s="84">
        <v>1437525</v>
      </c>
      <c r="T12" s="24">
        <f t="shared" si="5"/>
        <v>9919192</v>
      </c>
      <c r="U12" s="84">
        <v>6886764</v>
      </c>
      <c r="V12" s="84">
        <v>3032428</v>
      </c>
      <c r="W12" s="135">
        <f t="shared" si="2"/>
        <v>0.30571320728543211</v>
      </c>
    </row>
    <row r="13" spans="1:221">
      <c r="A13" s="15">
        <v>2012</v>
      </c>
      <c r="B13" s="528">
        <v>8</v>
      </c>
      <c r="C13" s="528">
        <v>1</v>
      </c>
      <c r="D13" s="23">
        <f>B13+C13</f>
        <v>9</v>
      </c>
      <c r="E13" s="82">
        <f t="shared" si="3"/>
        <v>11</v>
      </c>
      <c r="F13" s="82">
        <f t="shared" si="4"/>
        <v>10</v>
      </c>
      <c r="G13" s="85"/>
      <c r="H13" s="85"/>
      <c r="I13" s="528">
        <v>65</v>
      </c>
      <c r="J13" s="528">
        <v>32</v>
      </c>
      <c r="K13" s="23">
        <f>I13+J13</f>
        <v>97</v>
      </c>
      <c r="L13" s="528">
        <v>21.5</v>
      </c>
      <c r="M13" s="82">
        <f>I13+L13</f>
        <v>86.5</v>
      </c>
      <c r="N13" s="528">
        <v>45</v>
      </c>
      <c r="O13" s="528">
        <v>91.300000000000011</v>
      </c>
      <c r="P13" s="133">
        <f t="shared" si="1"/>
        <v>0.94742606790799555</v>
      </c>
      <c r="Q13" s="528">
        <v>29</v>
      </c>
      <c r="R13" s="528">
        <v>0</v>
      </c>
      <c r="S13" s="84">
        <v>1265293</v>
      </c>
      <c r="T13" s="24">
        <f t="shared" si="5"/>
        <v>1150040</v>
      </c>
      <c r="U13" s="84">
        <v>1150040</v>
      </c>
      <c r="V13" s="84">
        <v>0</v>
      </c>
      <c r="W13" s="135">
        <f t="shared" si="2"/>
        <v>0</v>
      </c>
    </row>
    <row r="14" spans="1:221">
      <c r="A14" s="15">
        <v>2011</v>
      </c>
      <c r="B14" s="528">
        <v>8</v>
      </c>
      <c r="C14" s="528">
        <v>1</v>
      </c>
      <c r="D14" s="23">
        <f t="shared" ref="D14:D23" si="6">SUM(B14:C14)</f>
        <v>9</v>
      </c>
      <c r="E14" s="82">
        <f t="shared" si="3"/>
        <v>9</v>
      </c>
      <c r="F14" s="82">
        <f t="shared" si="4"/>
        <v>8</v>
      </c>
      <c r="G14" s="85"/>
      <c r="H14" s="85"/>
      <c r="I14" s="528">
        <v>45</v>
      </c>
      <c r="J14" s="528">
        <v>51</v>
      </c>
      <c r="K14" s="23">
        <f t="shared" ref="K14:K23" si="7">SUM(I14:J14)</f>
        <v>96</v>
      </c>
      <c r="L14" s="528">
        <v>21</v>
      </c>
      <c r="M14" s="82">
        <f t="shared" ref="M14:M23" si="8">(I14+L14)</f>
        <v>66</v>
      </c>
      <c r="N14" s="528">
        <v>63</v>
      </c>
      <c r="O14" s="528">
        <v>71</v>
      </c>
      <c r="P14" s="133">
        <f t="shared" si="1"/>
        <v>0.92957746478873238</v>
      </c>
      <c r="Q14" s="528">
        <v>34</v>
      </c>
      <c r="R14" s="528">
        <v>1</v>
      </c>
      <c r="S14" s="84">
        <v>1245756</v>
      </c>
      <c r="T14" s="24">
        <f t="shared" si="5"/>
        <v>1136201</v>
      </c>
      <c r="U14" s="84">
        <v>1136201</v>
      </c>
      <c r="V14" s="84">
        <v>0</v>
      </c>
      <c r="W14" s="135">
        <f t="shared" si="2"/>
        <v>0</v>
      </c>
    </row>
    <row r="15" spans="1:221">
      <c r="A15" s="15">
        <v>2010</v>
      </c>
      <c r="B15" s="528">
        <v>8</v>
      </c>
      <c r="C15" s="528">
        <v>1.33</v>
      </c>
      <c r="D15" s="23">
        <f t="shared" si="6"/>
        <v>9.33</v>
      </c>
      <c r="E15" s="82">
        <f t="shared" si="3"/>
        <v>11</v>
      </c>
      <c r="F15" s="82">
        <f t="shared" si="4"/>
        <v>9</v>
      </c>
      <c r="G15" s="85"/>
      <c r="H15" s="85"/>
      <c r="I15" s="528">
        <v>37</v>
      </c>
      <c r="J15" s="528">
        <v>53</v>
      </c>
      <c r="K15" s="23">
        <f t="shared" si="7"/>
        <v>90</v>
      </c>
      <c r="L15" s="528">
        <v>46.8</v>
      </c>
      <c r="M15" s="82">
        <f t="shared" si="8"/>
        <v>83.8</v>
      </c>
      <c r="N15" s="528">
        <v>52</v>
      </c>
      <c r="O15" s="527">
        <v>85.8</v>
      </c>
      <c r="P15" s="133">
        <f t="shared" si="1"/>
        <v>0.9766899766899767</v>
      </c>
      <c r="Q15" s="528">
        <v>32</v>
      </c>
      <c r="R15" s="528">
        <v>1</v>
      </c>
      <c r="S15" s="84">
        <v>1141431</v>
      </c>
      <c r="T15" s="24">
        <f t="shared" si="5"/>
        <v>1385653</v>
      </c>
      <c r="U15" s="84">
        <v>1106635</v>
      </c>
      <c r="V15" s="84">
        <v>279018</v>
      </c>
      <c r="W15" s="135">
        <f t="shared" si="2"/>
        <v>0.20136210147850869</v>
      </c>
    </row>
    <row r="16" spans="1:221">
      <c r="A16" s="15">
        <v>2009</v>
      </c>
      <c r="B16" s="528">
        <v>8</v>
      </c>
      <c r="C16" s="528">
        <v>1.98</v>
      </c>
      <c r="D16" s="23">
        <f t="shared" si="6"/>
        <v>9.98</v>
      </c>
      <c r="E16" s="82">
        <f t="shared" si="3"/>
        <v>8</v>
      </c>
      <c r="F16" s="82">
        <f t="shared" si="4"/>
        <v>7</v>
      </c>
      <c r="G16" s="85"/>
      <c r="H16" s="85"/>
      <c r="I16" s="528">
        <v>47</v>
      </c>
      <c r="J16" s="528">
        <v>40</v>
      </c>
      <c r="K16" s="23">
        <f t="shared" si="7"/>
        <v>87</v>
      </c>
      <c r="L16" s="528">
        <v>20</v>
      </c>
      <c r="M16" s="82">
        <f t="shared" si="8"/>
        <v>67</v>
      </c>
      <c r="N16" s="528">
        <v>53</v>
      </c>
      <c r="O16" s="528">
        <v>67</v>
      </c>
      <c r="P16" s="133">
        <f t="shared" si="1"/>
        <v>1</v>
      </c>
      <c r="Q16" s="528">
        <v>37</v>
      </c>
      <c r="R16" s="528">
        <v>0</v>
      </c>
      <c r="S16" s="84">
        <v>1265900</v>
      </c>
      <c r="T16" s="24">
        <f t="shared" si="5"/>
        <v>1267182</v>
      </c>
      <c r="U16" s="84">
        <v>1197178</v>
      </c>
      <c r="V16" s="84">
        <v>70004</v>
      </c>
      <c r="W16" s="135">
        <f t="shared" si="2"/>
        <v>5.5243840269195744E-2</v>
      </c>
    </row>
    <row r="17" spans="1:38">
      <c r="A17" s="15">
        <v>2008</v>
      </c>
      <c r="B17" s="528">
        <v>8</v>
      </c>
      <c r="C17" s="528">
        <v>1.67</v>
      </c>
      <c r="D17" s="23">
        <f t="shared" si="6"/>
        <v>9.67</v>
      </c>
      <c r="E17" s="82">
        <f t="shared" si="3"/>
        <v>11</v>
      </c>
      <c r="F17" s="82">
        <f t="shared" si="4"/>
        <v>9</v>
      </c>
      <c r="G17" s="85"/>
      <c r="H17" s="85"/>
      <c r="I17" s="528">
        <v>47</v>
      </c>
      <c r="J17" s="528">
        <v>49</v>
      </c>
      <c r="K17" s="23">
        <f t="shared" si="7"/>
        <v>96</v>
      </c>
      <c r="L17" s="528">
        <v>28.6</v>
      </c>
      <c r="M17" s="82">
        <f t="shared" si="8"/>
        <v>75.599999999999994</v>
      </c>
      <c r="N17" s="528">
        <v>53</v>
      </c>
      <c r="O17" s="528">
        <v>85</v>
      </c>
      <c r="P17" s="133">
        <f t="shared" si="1"/>
        <v>0.88941176470588224</v>
      </c>
      <c r="Q17" s="528">
        <v>44</v>
      </c>
      <c r="R17" s="528">
        <v>0</v>
      </c>
      <c r="S17" s="84">
        <v>1179346</v>
      </c>
      <c r="T17" s="24">
        <f t="shared" si="5"/>
        <v>1393124</v>
      </c>
      <c r="U17" s="84">
        <v>1329674</v>
      </c>
      <c r="V17" s="84">
        <v>63450</v>
      </c>
      <c r="W17" s="135">
        <f t="shared" si="2"/>
        <v>4.5545120175949881E-2</v>
      </c>
    </row>
    <row r="18" spans="1:38" s="73" customFormat="1">
      <c r="A18" s="15">
        <v>2007</v>
      </c>
      <c r="B18" s="528">
        <v>8</v>
      </c>
      <c r="C18" s="528">
        <v>2.33</v>
      </c>
      <c r="D18" s="23">
        <f t="shared" si="6"/>
        <v>10.33</v>
      </c>
      <c r="E18" s="82">
        <f t="shared" si="3"/>
        <v>9</v>
      </c>
      <c r="F18" s="82">
        <f t="shared" si="4"/>
        <v>7</v>
      </c>
      <c r="G18" s="85"/>
      <c r="H18" s="85"/>
      <c r="I18" s="528">
        <v>44</v>
      </c>
      <c r="J18" s="528">
        <v>58</v>
      </c>
      <c r="K18" s="23">
        <f t="shared" si="7"/>
        <v>102</v>
      </c>
      <c r="L18" s="528">
        <v>27.5</v>
      </c>
      <c r="M18" s="82">
        <f t="shared" si="8"/>
        <v>71.5</v>
      </c>
      <c r="N18" s="528">
        <v>43</v>
      </c>
      <c r="O18" s="528">
        <v>72</v>
      </c>
      <c r="P18" s="133">
        <f t="shared" si="1"/>
        <v>0.99305555555555558</v>
      </c>
      <c r="Q18" s="528">
        <v>48</v>
      </c>
      <c r="R18" s="528">
        <v>0</v>
      </c>
      <c r="S18" s="132">
        <v>1020417</v>
      </c>
      <c r="T18" s="24">
        <f t="shared" si="5"/>
        <v>1204127</v>
      </c>
      <c r="U18" s="132">
        <v>1132016</v>
      </c>
      <c r="V18" s="132">
        <v>72111</v>
      </c>
      <c r="W18" s="135">
        <f t="shared" si="2"/>
        <v>5.9886540207137622E-2</v>
      </c>
      <c r="X18"/>
      <c r="Y18"/>
      <c r="Z18"/>
      <c r="AA18"/>
      <c r="AB18"/>
      <c r="AC18"/>
      <c r="AD18"/>
      <c r="AE18"/>
      <c r="AF18"/>
      <c r="AG18"/>
      <c r="AH18"/>
      <c r="AI18"/>
      <c r="AJ18"/>
      <c r="AK18"/>
      <c r="AL18"/>
    </row>
    <row r="19" spans="1:38" s="73" customFormat="1">
      <c r="A19" s="15">
        <v>2006</v>
      </c>
      <c r="B19" s="528">
        <v>6</v>
      </c>
      <c r="C19" s="528">
        <v>2</v>
      </c>
      <c r="D19" s="23">
        <f t="shared" si="6"/>
        <v>8</v>
      </c>
      <c r="E19" s="82">
        <f t="shared" si="3"/>
        <v>15</v>
      </c>
      <c r="F19" s="82">
        <f t="shared" si="4"/>
        <v>11</v>
      </c>
      <c r="G19" s="85"/>
      <c r="H19" s="85"/>
      <c r="I19" s="528">
        <v>48</v>
      </c>
      <c r="J19" s="528">
        <v>78</v>
      </c>
      <c r="K19" s="23">
        <f t="shared" si="7"/>
        <v>126</v>
      </c>
      <c r="L19" s="528">
        <v>42</v>
      </c>
      <c r="M19" s="82">
        <f t="shared" si="8"/>
        <v>90</v>
      </c>
      <c r="N19" s="528">
        <v>74</v>
      </c>
      <c r="O19" s="528">
        <v>90</v>
      </c>
      <c r="P19" s="133">
        <f t="shared" si="1"/>
        <v>1</v>
      </c>
      <c r="Q19" s="528">
        <v>45</v>
      </c>
      <c r="R19" s="528">
        <v>0</v>
      </c>
      <c r="S19" s="132">
        <v>930739</v>
      </c>
      <c r="T19" s="24">
        <f t="shared" si="5"/>
        <v>1122419</v>
      </c>
      <c r="U19" s="132">
        <v>1017060</v>
      </c>
      <c r="V19" s="132">
        <v>105359</v>
      </c>
      <c r="W19" s="135">
        <f t="shared" si="2"/>
        <v>9.3867798032642003E-2</v>
      </c>
      <c r="X19"/>
      <c r="Y19"/>
      <c r="Z19"/>
      <c r="AA19"/>
      <c r="AB19"/>
      <c r="AC19"/>
      <c r="AD19"/>
      <c r="AE19"/>
      <c r="AF19"/>
      <c r="AG19"/>
      <c r="AH19"/>
      <c r="AI19"/>
      <c r="AJ19"/>
      <c r="AK19"/>
      <c r="AL19"/>
    </row>
    <row r="20" spans="1:38" s="73" customFormat="1">
      <c r="A20" s="15">
        <v>2005</v>
      </c>
      <c r="B20" s="528">
        <v>6</v>
      </c>
      <c r="C20" s="528">
        <v>2</v>
      </c>
      <c r="D20" s="23">
        <f t="shared" si="6"/>
        <v>8</v>
      </c>
      <c r="E20" s="82">
        <f t="shared" si="3"/>
        <v>18</v>
      </c>
      <c r="F20" s="82">
        <f t="shared" si="4"/>
        <v>13</v>
      </c>
      <c r="G20" s="85"/>
      <c r="H20" s="85"/>
      <c r="I20" s="528">
        <v>62</v>
      </c>
      <c r="J20" s="528">
        <v>73</v>
      </c>
      <c r="K20" s="23">
        <f t="shared" si="7"/>
        <v>135</v>
      </c>
      <c r="L20" s="528">
        <v>36</v>
      </c>
      <c r="M20" s="82">
        <f t="shared" si="8"/>
        <v>98</v>
      </c>
      <c r="N20" s="528">
        <v>74</v>
      </c>
      <c r="O20" s="528">
        <v>107</v>
      </c>
      <c r="P20" s="133">
        <f t="shared" si="1"/>
        <v>0.91588785046728971</v>
      </c>
      <c r="Q20" s="528">
        <v>53</v>
      </c>
      <c r="R20" s="528">
        <v>0</v>
      </c>
      <c r="S20" s="132">
        <v>921914</v>
      </c>
      <c r="T20" s="24">
        <f t="shared" si="5"/>
        <v>1184057</v>
      </c>
      <c r="U20" s="132">
        <v>981407</v>
      </c>
      <c r="V20" s="132">
        <v>202650</v>
      </c>
      <c r="W20" s="135">
        <f t="shared" si="2"/>
        <v>0.17114885516491182</v>
      </c>
      <c r="X20"/>
      <c r="Y20"/>
      <c r="Z20"/>
      <c r="AA20"/>
      <c r="AB20"/>
      <c r="AC20"/>
      <c r="AD20"/>
      <c r="AE20"/>
      <c r="AF20"/>
      <c r="AG20"/>
      <c r="AH20"/>
      <c r="AI20"/>
      <c r="AJ20"/>
      <c r="AK20"/>
      <c r="AL20"/>
    </row>
    <row r="21" spans="1:38" s="73" customFormat="1">
      <c r="A21" s="15">
        <v>2004</v>
      </c>
      <c r="B21" s="169">
        <v>6</v>
      </c>
      <c r="C21" s="528">
        <v>2</v>
      </c>
      <c r="D21" s="23">
        <f t="shared" si="6"/>
        <v>8</v>
      </c>
      <c r="E21" s="82">
        <f t="shared" si="3"/>
        <v>21</v>
      </c>
      <c r="F21" s="82">
        <f t="shared" si="4"/>
        <v>16</v>
      </c>
      <c r="G21" s="85"/>
      <c r="H21" s="85"/>
      <c r="I21" s="169">
        <v>67</v>
      </c>
      <c r="J21" s="169">
        <v>59</v>
      </c>
      <c r="K21" s="23">
        <f t="shared" si="7"/>
        <v>126</v>
      </c>
      <c r="L21" s="528">
        <v>34</v>
      </c>
      <c r="M21" s="82">
        <f t="shared" si="8"/>
        <v>101</v>
      </c>
      <c r="N21" s="528">
        <v>76</v>
      </c>
      <c r="O21" s="528">
        <v>126</v>
      </c>
      <c r="P21" s="133">
        <f t="shared" si="1"/>
        <v>0.80158730158730163</v>
      </c>
      <c r="Q21" s="528">
        <v>56</v>
      </c>
      <c r="R21" s="528">
        <v>1</v>
      </c>
      <c r="S21" s="554" t="s">
        <v>82</v>
      </c>
      <c r="T21" s="554"/>
      <c r="U21" s="554"/>
      <c r="V21" s="554"/>
      <c r="W21" s="554"/>
      <c r="X21"/>
      <c r="Y21"/>
      <c r="Z21"/>
      <c r="AA21"/>
      <c r="AB21"/>
      <c r="AC21"/>
      <c r="AD21"/>
      <c r="AE21"/>
      <c r="AF21"/>
      <c r="AG21"/>
      <c r="AH21"/>
      <c r="AI21"/>
      <c r="AJ21"/>
      <c r="AK21"/>
      <c r="AL21"/>
    </row>
    <row r="22" spans="1:38" s="73" customFormat="1">
      <c r="A22" s="15">
        <v>2003</v>
      </c>
      <c r="B22" s="528">
        <v>6</v>
      </c>
      <c r="C22" s="528">
        <v>3</v>
      </c>
      <c r="D22" s="23">
        <f t="shared" si="6"/>
        <v>9</v>
      </c>
      <c r="E22" s="82">
        <f t="shared" si="3"/>
        <v>18</v>
      </c>
      <c r="F22" s="82">
        <f t="shared" si="4"/>
        <v>12</v>
      </c>
      <c r="G22" s="85"/>
      <c r="H22" s="85"/>
      <c r="I22" s="528">
        <v>61</v>
      </c>
      <c r="J22" s="528">
        <v>68</v>
      </c>
      <c r="K22" s="23">
        <f t="shared" si="7"/>
        <v>129</v>
      </c>
      <c r="L22" s="528">
        <v>38</v>
      </c>
      <c r="M22" s="82">
        <f t="shared" si="8"/>
        <v>99</v>
      </c>
      <c r="N22" s="528">
        <v>72</v>
      </c>
      <c r="O22" s="528">
        <v>106</v>
      </c>
      <c r="P22" s="133">
        <f t="shared" si="1"/>
        <v>0.93396226415094341</v>
      </c>
      <c r="Q22" s="528">
        <v>38</v>
      </c>
      <c r="R22" s="528">
        <v>0</v>
      </c>
      <c r="S22" s="132">
        <v>916502</v>
      </c>
      <c r="T22" s="132">
        <f>SUM(U22:V22)</f>
        <v>952302</v>
      </c>
      <c r="U22" s="132">
        <v>674935</v>
      </c>
      <c r="V22" s="132">
        <v>277367</v>
      </c>
      <c r="W22" s="135">
        <f>V22/T22</f>
        <v>0.29125949541216967</v>
      </c>
      <c r="X22"/>
      <c r="Y22"/>
      <c r="Z22"/>
      <c r="AA22"/>
      <c r="AB22"/>
      <c r="AC22"/>
      <c r="AD22"/>
      <c r="AE22"/>
      <c r="AF22"/>
      <c r="AG22"/>
      <c r="AH22"/>
      <c r="AI22"/>
      <c r="AJ22"/>
      <c r="AK22"/>
      <c r="AL22"/>
    </row>
    <row r="23" spans="1:38" s="73" customFormat="1">
      <c r="A23" s="15">
        <v>2002</v>
      </c>
      <c r="B23" s="528">
        <v>5</v>
      </c>
      <c r="C23" s="528">
        <v>2</v>
      </c>
      <c r="D23" s="23">
        <f t="shared" si="6"/>
        <v>7</v>
      </c>
      <c r="E23" s="82">
        <f t="shared" si="3"/>
        <v>15</v>
      </c>
      <c r="F23" s="82">
        <f t="shared" si="4"/>
        <v>11</v>
      </c>
      <c r="G23" s="85"/>
      <c r="H23" s="85"/>
      <c r="I23" s="528">
        <v>47</v>
      </c>
      <c r="J23" s="528">
        <v>65</v>
      </c>
      <c r="K23" s="23">
        <f t="shared" si="7"/>
        <v>112</v>
      </c>
      <c r="L23" s="528">
        <f>ROUND(29.3, 0)</f>
        <v>29</v>
      </c>
      <c r="M23" s="82">
        <f t="shared" si="8"/>
        <v>76</v>
      </c>
      <c r="N23" s="528">
        <v>53</v>
      </c>
      <c r="O23" s="528">
        <f>ROUND(76.34, 0)</f>
        <v>76</v>
      </c>
      <c r="P23" s="133">
        <f t="shared" si="1"/>
        <v>1</v>
      </c>
      <c r="Q23" s="528">
        <v>38</v>
      </c>
      <c r="R23" s="528">
        <v>1</v>
      </c>
      <c r="S23" s="132">
        <v>500568</v>
      </c>
      <c r="T23" s="132">
        <f>SUM(U23:V23)</f>
        <v>507068</v>
      </c>
      <c r="U23" s="132">
        <v>472568</v>
      </c>
      <c r="V23" s="132">
        <v>34500</v>
      </c>
      <c r="W23" s="135">
        <f>V23/T23</f>
        <v>6.8038211837465584E-2</v>
      </c>
      <c r="X23"/>
      <c r="Y23"/>
      <c r="Z23"/>
      <c r="AA23"/>
      <c r="AB23"/>
      <c r="AC23"/>
      <c r="AD23"/>
      <c r="AE23"/>
      <c r="AF23"/>
      <c r="AG23"/>
      <c r="AH23"/>
      <c r="AI23"/>
      <c r="AJ23"/>
      <c r="AK23"/>
      <c r="AL23"/>
    </row>
    <row r="24" spans="1:38" s="12" customFormat="1"/>
    <row r="25" spans="1:38" s="12" customFormat="1"/>
    <row r="26" spans="1:38" s="12" customFormat="1"/>
    <row r="27" spans="1:38" s="12" customFormat="1"/>
    <row r="28" spans="1:38" s="12" customFormat="1"/>
    <row r="29" spans="1:38" s="12" customFormat="1"/>
    <row r="30" spans="1:38" s="12" customFormat="1"/>
    <row r="31" spans="1:38" s="12" customFormat="1"/>
    <row r="32" spans="1:38" s="12" customFormat="1"/>
    <row r="33" s="12" customFormat="1"/>
    <row r="34" s="12" customFormat="1"/>
    <row r="35" s="12" customFormat="1"/>
  </sheetData>
  <mergeCells count="1">
    <mergeCell ref="S21:W21"/>
  </mergeCells>
  <printOptions headings="1" gridLines="1"/>
  <pageMargins left="0.5" right="0.5" top="0.5" bottom="0.5" header="0" footer="0"/>
  <pageSetup paperSize="5" scale="67" orientation="landscape"/>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L35"/>
  <sheetViews>
    <sheetView workbookViewId="0">
      <selection activeCell="J3" sqref="J3"/>
    </sheetView>
  </sheetViews>
  <sheetFormatPr defaultColWidth="8.85546875" defaultRowHeight="15"/>
  <cols>
    <col min="1" max="1" width="9.42578125" customWidth="1"/>
    <col min="2" max="2" width="8.7109375" customWidth="1"/>
    <col min="3" max="3" width="10" customWidth="1"/>
    <col min="4" max="4" width="9.85546875" customWidth="1"/>
    <col min="5" max="5" width="11.85546875" customWidth="1"/>
    <col min="6" max="8" width="12.140625" customWidth="1"/>
    <col min="9" max="9" width="8.85546875" bestFit="1" customWidth="1"/>
    <col min="10" max="11" width="11.85546875" bestFit="1" customWidth="1"/>
    <col min="12" max="12" width="12.28515625" bestFit="1" customWidth="1"/>
    <col min="13" max="13" width="13.140625" bestFit="1" customWidth="1"/>
    <col min="14" max="14" width="11.7109375" customWidth="1"/>
    <col min="15" max="15" width="13.42578125" bestFit="1" customWidth="1"/>
    <col min="16" max="16" width="14.28515625" customWidth="1"/>
    <col min="17" max="17" width="12.42578125" bestFit="1" customWidth="1"/>
    <col min="18" max="18" width="9" bestFit="1" customWidth="1"/>
    <col min="19" max="19" width="13" customWidth="1"/>
    <col min="20" max="20" width="12.85546875" bestFit="1" customWidth="1"/>
    <col min="21" max="21" width="10.42578125" bestFit="1" customWidth="1"/>
    <col min="22" max="22" width="10.85546875" bestFit="1" customWidth="1"/>
    <col min="23" max="23" width="12.85546875" bestFit="1" customWidth="1"/>
  </cols>
  <sheetData>
    <row r="1" spans="1:220" s="1" customFormat="1" ht="18.75">
      <c r="A1" s="1" t="s">
        <v>3</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row>
    <row r="2" spans="1:220" s="3"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row>
    <row r="3" spans="1:220">
      <c r="A3" s="105">
        <v>2022</v>
      </c>
      <c r="B3" s="66">
        <v>14</v>
      </c>
      <c r="C3" s="66">
        <v>3.2</v>
      </c>
      <c r="D3" s="23">
        <f>SUM(B3:C3)</f>
        <v>17.2</v>
      </c>
      <c r="E3" s="82">
        <f>ROUND((O3/B3), 0)</f>
        <v>17</v>
      </c>
      <c r="F3" s="82">
        <f>ROUND((O3/D3), 0)</f>
        <v>14</v>
      </c>
      <c r="G3" s="66">
        <v>11</v>
      </c>
      <c r="H3" s="66">
        <v>3.2</v>
      </c>
      <c r="I3" s="66">
        <v>113</v>
      </c>
      <c r="J3" s="66">
        <v>195</v>
      </c>
      <c r="K3" s="23">
        <f t="shared" ref="K3" si="0">SUM(I3:J3)</f>
        <v>308</v>
      </c>
      <c r="L3" s="66">
        <v>113</v>
      </c>
      <c r="M3" s="82">
        <f>(I3+L3)</f>
        <v>226</v>
      </c>
      <c r="N3" s="66">
        <v>49</v>
      </c>
      <c r="O3" s="66">
        <v>233.33</v>
      </c>
      <c r="P3" s="133">
        <f t="shared" ref="P3" si="1">M3/O3</f>
        <v>0.96858526550379287</v>
      </c>
      <c r="Q3" s="66">
        <v>86</v>
      </c>
      <c r="R3" s="66">
        <v>7</v>
      </c>
      <c r="S3" s="304">
        <v>2155563</v>
      </c>
      <c r="T3" s="24">
        <f>SUM(U3:V3)</f>
        <v>2469850</v>
      </c>
      <c r="U3" s="304">
        <v>1841142</v>
      </c>
      <c r="V3" s="304">
        <v>628708</v>
      </c>
      <c r="W3" s="135">
        <f t="shared" ref="W3" si="2">V3/T3</f>
        <v>0.25455311051278418</v>
      </c>
    </row>
    <row r="4" spans="1:220">
      <c r="A4" s="105">
        <v>2021</v>
      </c>
      <c r="B4" s="66">
        <v>15</v>
      </c>
      <c r="C4" s="66">
        <v>1.4</v>
      </c>
      <c r="D4" s="23">
        <f>SUM(B4:C4)</f>
        <v>16.399999999999999</v>
      </c>
      <c r="E4" s="82">
        <f>ROUND((O4/B4), 0)</f>
        <v>13</v>
      </c>
      <c r="F4" s="82">
        <f>ROUND((O4/D4), 0)</f>
        <v>12</v>
      </c>
      <c r="G4" s="66">
        <v>11</v>
      </c>
      <c r="H4" s="66">
        <v>1.4</v>
      </c>
      <c r="I4" s="66">
        <v>105</v>
      </c>
      <c r="J4" s="66">
        <v>151</v>
      </c>
      <c r="K4" s="23">
        <f t="shared" ref="K4" si="3">SUM(I4:J4)</f>
        <v>256</v>
      </c>
      <c r="L4" s="66">
        <v>85.78</v>
      </c>
      <c r="M4" s="82">
        <f>(I4+L4)</f>
        <v>190.78</v>
      </c>
      <c r="N4" s="66">
        <v>45</v>
      </c>
      <c r="O4" s="66">
        <v>190.78</v>
      </c>
      <c r="P4" s="133">
        <f t="shared" ref="P4" si="4">M4/O4</f>
        <v>1</v>
      </c>
      <c r="Q4" s="66">
        <v>70</v>
      </c>
      <c r="R4" s="66">
        <v>4</v>
      </c>
      <c r="S4" s="304">
        <v>2090849</v>
      </c>
      <c r="T4" s="24">
        <f>SUM(U4:V4)</f>
        <v>2263095</v>
      </c>
      <c r="U4" s="304">
        <v>1617050</v>
      </c>
      <c r="V4" s="304">
        <v>646045</v>
      </c>
      <c r="W4" s="135">
        <f t="shared" ref="W4" si="5">V4/T4</f>
        <v>0.28546967758755154</v>
      </c>
    </row>
    <row r="5" spans="1:220">
      <c r="A5" s="105">
        <v>2020</v>
      </c>
      <c r="B5" s="66">
        <v>14</v>
      </c>
      <c r="C5" s="66">
        <v>1.25</v>
      </c>
      <c r="D5" s="23">
        <f>SUM(B5:C5)</f>
        <v>15.25</v>
      </c>
      <c r="E5" s="82">
        <f>ROUND((O5/B5), 0)</f>
        <v>11</v>
      </c>
      <c r="F5" s="82">
        <f>ROUND((O5/D5), 0)</f>
        <v>10</v>
      </c>
      <c r="G5" s="66">
        <v>11</v>
      </c>
      <c r="H5" s="66">
        <v>1.25</v>
      </c>
      <c r="I5" s="66">
        <v>74</v>
      </c>
      <c r="J5" s="66">
        <v>128</v>
      </c>
      <c r="K5" s="23">
        <f t="shared" ref="K5" si="6">SUM(I5:J5)</f>
        <v>202</v>
      </c>
      <c r="L5" s="66">
        <v>75.67</v>
      </c>
      <c r="M5" s="82">
        <f>(I5+L5)</f>
        <v>149.67000000000002</v>
      </c>
      <c r="N5" s="66">
        <v>39</v>
      </c>
      <c r="O5" s="66">
        <v>157</v>
      </c>
      <c r="P5" s="133">
        <f t="shared" ref="P5" si="7">M5/O5</f>
        <v>0.95331210191082816</v>
      </c>
      <c r="Q5" s="66">
        <v>92</v>
      </c>
      <c r="R5" s="66">
        <v>5</v>
      </c>
      <c r="S5" s="304">
        <v>2362599</v>
      </c>
      <c r="T5" s="24">
        <f>SUM(U5:V5)</f>
        <v>2815617</v>
      </c>
      <c r="U5" s="304">
        <v>1949417</v>
      </c>
      <c r="V5" s="304">
        <v>866200</v>
      </c>
      <c r="W5" s="135">
        <f t="shared" ref="W5" si="8">V5/T5</f>
        <v>0.30764127365334132</v>
      </c>
    </row>
    <row r="6" spans="1:220" s="3" customFormat="1">
      <c r="A6" s="105">
        <v>2019</v>
      </c>
      <c r="B6" s="17">
        <v>14</v>
      </c>
      <c r="C6" s="17">
        <v>1</v>
      </c>
      <c r="D6" s="23">
        <f>SUM(B6:C6)</f>
        <v>15</v>
      </c>
      <c r="E6" s="82">
        <f>ROUND((O6/B6), 0)</f>
        <v>11</v>
      </c>
      <c r="F6" s="82">
        <f>ROUND((O6/D6), 0)</f>
        <v>10</v>
      </c>
      <c r="G6" s="17">
        <v>11</v>
      </c>
      <c r="H6" s="17">
        <v>1</v>
      </c>
      <c r="I6" s="17">
        <v>74</v>
      </c>
      <c r="J6" s="17">
        <v>111</v>
      </c>
      <c r="K6" s="23">
        <f t="shared" ref="K6" si="9">SUM(I6:J6)</f>
        <v>185</v>
      </c>
      <c r="L6" s="66">
        <v>64.56</v>
      </c>
      <c r="M6" s="82">
        <f>(I6+L6)</f>
        <v>138.56</v>
      </c>
      <c r="N6" s="17">
        <v>23</v>
      </c>
      <c r="O6" s="17">
        <v>147.88999999999999</v>
      </c>
      <c r="P6" s="133">
        <f t="shared" ref="P6" si="10">M6/O6</f>
        <v>0.93691257015349261</v>
      </c>
      <c r="Q6" s="17">
        <v>107</v>
      </c>
      <c r="R6" s="17">
        <v>2</v>
      </c>
      <c r="S6" s="20">
        <v>2123033</v>
      </c>
      <c r="T6" s="24">
        <f>SUM(U6:V6)</f>
        <v>3057488</v>
      </c>
      <c r="U6" s="20">
        <v>1893886</v>
      </c>
      <c r="V6" s="20">
        <v>1163602</v>
      </c>
      <c r="W6" s="135">
        <f t="shared" ref="W6" si="11">V6/T6</f>
        <v>0.3805745108402715</v>
      </c>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row>
    <row r="7" spans="1:220" s="14" customFormat="1">
      <c r="A7" s="10">
        <v>2018</v>
      </c>
      <c r="B7" s="17">
        <v>11</v>
      </c>
      <c r="C7" s="17">
        <v>2.2000000000000002</v>
      </c>
      <c r="D7" s="23">
        <f>SUM(B7:C7)</f>
        <v>13.2</v>
      </c>
      <c r="E7" s="82">
        <f>ROUND((O7/B7), 0)</f>
        <v>15</v>
      </c>
      <c r="F7" s="82">
        <f>ROUND((O7/D7), 0)</f>
        <v>12</v>
      </c>
      <c r="G7" s="17">
        <v>9</v>
      </c>
      <c r="H7" s="17">
        <v>2</v>
      </c>
      <c r="I7" s="17">
        <v>54</v>
      </c>
      <c r="J7" s="17">
        <v>165</v>
      </c>
      <c r="K7" s="23">
        <f t="shared" ref="K7" si="12">SUM(I7:J7)</f>
        <v>219</v>
      </c>
      <c r="L7" s="17">
        <v>100.22</v>
      </c>
      <c r="M7" s="82">
        <f>(I7+L7)</f>
        <v>154.22</v>
      </c>
      <c r="N7" s="17">
        <v>29</v>
      </c>
      <c r="O7" s="17">
        <v>163.55000000000001</v>
      </c>
      <c r="P7" s="133">
        <f t="shared" ref="P7" si="13">M7/O7</f>
        <v>0.94295322531335979</v>
      </c>
      <c r="Q7" s="17">
        <v>77</v>
      </c>
      <c r="R7" s="17">
        <v>4</v>
      </c>
      <c r="S7" s="20">
        <v>2206489.2200000002</v>
      </c>
      <c r="T7" s="24">
        <f>SUM(U7:V7)</f>
        <v>3025564.87</v>
      </c>
      <c r="U7" s="20">
        <v>2066275.86</v>
      </c>
      <c r="V7" s="20">
        <v>959289.01</v>
      </c>
      <c r="W7" s="135">
        <f t="shared" ref="W7" si="14">V7/T7</f>
        <v>0.3170611278283384</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14" customFormat="1">
      <c r="A8" s="10">
        <v>2017</v>
      </c>
      <c r="B8" s="17">
        <v>12</v>
      </c>
      <c r="C8" s="17">
        <v>1.6</v>
      </c>
      <c r="D8" s="23">
        <f t="shared" ref="D8" si="15">SUM(B8:C8)</f>
        <v>13.6</v>
      </c>
      <c r="E8" s="82">
        <f t="shared" ref="E8:E9" si="16">ROUND((O8/B8), 0)</f>
        <v>14</v>
      </c>
      <c r="F8" s="82">
        <f t="shared" ref="F8:F9" si="17">ROUND((O8/D8), 0)</f>
        <v>12</v>
      </c>
      <c r="G8" s="17">
        <v>9</v>
      </c>
      <c r="H8" s="17">
        <v>1.6</v>
      </c>
      <c r="I8" s="17">
        <v>47</v>
      </c>
      <c r="J8" s="17">
        <v>171</v>
      </c>
      <c r="K8" s="23">
        <f t="shared" ref="K8:K11" si="18">SUM(I8:J8)</f>
        <v>218</v>
      </c>
      <c r="L8" s="17">
        <v>112.33</v>
      </c>
      <c r="M8" s="82">
        <f t="shared" ref="M8:M9" si="19">(I8+L8)</f>
        <v>159.32999999999998</v>
      </c>
      <c r="N8" s="17">
        <v>26</v>
      </c>
      <c r="O8" s="17">
        <v>168.55</v>
      </c>
      <c r="P8" s="133">
        <f t="shared" ref="P8:P23" si="20">M8/O8</f>
        <v>0.94529813111836236</v>
      </c>
      <c r="Q8" s="17">
        <v>70</v>
      </c>
      <c r="R8" s="17">
        <v>3</v>
      </c>
      <c r="S8" s="20">
        <v>2154749</v>
      </c>
      <c r="T8" s="24">
        <f t="shared" ref="T8:T9" si="21">SUM(U8:V8)</f>
        <v>2802357</v>
      </c>
      <c r="U8" s="20">
        <v>2072332</v>
      </c>
      <c r="V8" s="20">
        <v>730025</v>
      </c>
      <c r="W8" s="135">
        <f t="shared" ref="W8:W23" si="22">V8/T8</f>
        <v>0.26050392580245846</v>
      </c>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row>
    <row r="9" spans="1:220" s="14" customFormat="1">
      <c r="A9" s="10">
        <v>2016</v>
      </c>
      <c r="B9" s="54">
        <v>12</v>
      </c>
      <c r="C9" s="54">
        <v>6.4</v>
      </c>
      <c r="D9" s="23">
        <f t="shared" ref="D9" si="23">SUM(B9:C9)</f>
        <v>18.399999999999999</v>
      </c>
      <c r="E9" s="82">
        <f t="shared" si="16"/>
        <v>12</v>
      </c>
      <c r="F9" s="82">
        <f t="shared" si="17"/>
        <v>8</v>
      </c>
      <c r="G9" s="54">
        <v>9</v>
      </c>
      <c r="H9" s="54">
        <v>6.4</v>
      </c>
      <c r="I9" s="54">
        <v>39</v>
      </c>
      <c r="J9" s="54">
        <v>152</v>
      </c>
      <c r="K9" s="23">
        <f t="shared" si="18"/>
        <v>191</v>
      </c>
      <c r="L9" s="54">
        <v>99</v>
      </c>
      <c r="M9" s="82">
        <f t="shared" si="19"/>
        <v>138</v>
      </c>
      <c r="N9" s="54">
        <v>9</v>
      </c>
      <c r="O9" s="54">
        <v>141</v>
      </c>
      <c r="P9" s="133">
        <f t="shared" si="20"/>
        <v>0.97872340425531912</v>
      </c>
      <c r="Q9" s="54">
        <v>91</v>
      </c>
      <c r="R9" s="54">
        <v>4</v>
      </c>
      <c r="S9" s="55">
        <v>2512699</v>
      </c>
      <c r="T9" s="24">
        <f t="shared" si="21"/>
        <v>2683380</v>
      </c>
      <c r="U9" s="55">
        <v>1977413</v>
      </c>
      <c r="V9" s="55">
        <v>705967</v>
      </c>
      <c r="W9" s="135">
        <f t="shared" si="22"/>
        <v>0.26308871646952725</v>
      </c>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row>
    <row r="10" spans="1:220" s="6" customFormat="1">
      <c r="A10" s="105">
        <v>2015</v>
      </c>
      <c r="B10" s="122">
        <v>11</v>
      </c>
      <c r="C10" s="122">
        <v>0.2</v>
      </c>
      <c r="D10" s="119">
        <v>11.2</v>
      </c>
      <c r="E10" s="119">
        <v>14.1</v>
      </c>
      <c r="F10" s="119">
        <v>13.9</v>
      </c>
      <c r="G10" s="83"/>
      <c r="H10" s="83"/>
      <c r="I10" s="122">
        <v>50</v>
      </c>
      <c r="J10" s="122">
        <v>140</v>
      </c>
      <c r="K10" s="23">
        <f t="shared" si="18"/>
        <v>190</v>
      </c>
      <c r="L10" s="122">
        <v>89</v>
      </c>
      <c r="M10" s="119">
        <v>139.22999999999999</v>
      </c>
      <c r="N10" s="122">
        <v>23</v>
      </c>
      <c r="O10" s="122">
        <v>155.56</v>
      </c>
      <c r="P10" s="133">
        <f t="shared" si="20"/>
        <v>0.89502442787348924</v>
      </c>
      <c r="Q10" s="122">
        <v>111</v>
      </c>
      <c r="R10" s="122">
        <v>3</v>
      </c>
      <c r="S10" s="8">
        <f>2153288+407081.22</f>
        <v>2560369.2199999997</v>
      </c>
      <c r="T10" s="26">
        <v>2915427.31</v>
      </c>
      <c r="U10" s="8">
        <v>1948230.71</v>
      </c>
      <c r="V10" s="8">
        <v>967196.6</v>
      </c>
      <c r="W10" s="135">
        <f t="shared" si="22"/>
        <v>0.33175123134865603</v>
      </c>
    </row>
    <row r="11" spans="1:220" s="6" customFormat="1">
      <c r="A11" s="105">
        <v>2014</v>
      </c>
      <c r="B11" s="122">
        <v>10</v>
      </c>
      <c r="C11" s="122">
        <v>2.2000000000000002</v>
      </c>
      <c r="D11" s="119">
        <v>12.2</v>
      </c>
      <c r="E11" s="119">
        <v>17.5</v>
      </c>
      <c r="F11" s="119">
        <v>14.3</v>
      </c>
      <c r="G11" s="83"/>
      <c r="H11" s="83"/>
      <c r="I11" s="122">
        <v>57</v>
      </c>
      <c r="J11" s="122">
        <v>162</v>
      </c>
      <c r="K11" s="23">
        <f t="shared" si="18"/>
        <v>219</v>
      </c>
      <c r="L11" s="122">
        <v>97</v>
      </c>
      <c r="M11" s="119">
        <v>153.72</v>
      </c>
      <c r="N11" s="122">
        <v>21</v>
      </c>
      <c r="O11" s="122">
        <v>175.05</v>
      </c>
      <c r="P11" s="133">
        <f t="shared" si="20"/>
        <v>0.87814910025706938</v>
      </c>
      <c r="Q11" s="122">
        <v>106</v>
      </c>
      <c r="R11" s="122">
        <v>8</v>
      </c>
      <c r="S11" s="8">
        <f>2157986.79+197798.57+194801.98</f>
        <v>2550587.34</v>
      </c>
      <c r="T11" s="26">
        <v>2697163.58</v>
      </c>
      <c r="U11" s="8">
        <v>1891149.34</v>
      </c>
      <c r="V11" s="8">
        <f>131508.89+302203.98+358001.92-269888.34</f>
        <v>521826.45</v>
      </c>
      <c r="W11" s="135">
        <f t="shared" si="22"/>
        <v>0.19347230322604311</v>
      </c>
    </row>
    <row r="12" spans="1:220">
      <c r="A12" s="15">
        <v>2013</v>
      </c>
      <c r="B12" s="528">
        <v>13</v>
      </c>
      <c r="C12" s="528">
        <v>5</v>
      </c>
      <c r="D12" s="23">
        <f t="shared" ref="D12:D19" si="24">SUM(B12:C12)</f>
        <v>18</v>
      </c>
      <c r="E12" s="82">
        <f t="shared" ref="E12:E19" si="25">ROUND((O12/B12), 0)</f>
        <v>14</v>
      </c>
      <c r="F12" s="82">
        <f t="shared" ref="F12:F19" si="26">ROUND((O12/D12), 0)</f>
        <v>10</v>
      </c>
      <c r="G12" s="85"/>
      <c r="H12" s="85"/>
      <c r="I12" s="528">
        <v>64</v>
      </c>
      <c r="J12" s="528">
        <v>180</v>
      </c>
      <c r="K12" s="23">
        <f t="shared" ref="K12:K19" si="27">SUM(I12:J12)</f>
        <v>244</v>
      </c>
      <c r="L12" s="528">
        <v>107.34</v>
      </c>
      <c r="M12" s="82">
        <f t="shared" ref="M12:M13" si="28">(I12+L12)</f>
        <v>171.34</v>
      </c>
      <c r="N12" s="528">
        <v>15</v>
      </c>
      <c r="O12" s="131">
        <v>188.35</v>
      </c>
      <c r="P12" s="133">
        <f t="shared" si="20"/>
        <v>0.90968940801698972</v>
      </c>
      <c r="Q12" s="528">
        <v>119</v>
      </c>
      <c r="R12" s="528">
        <v>7</v>
      </c>
      <c r="S12" s="84">
        <v>2541906.04</v>
      </c>
      <c r="T12" s="24">
        <f t="shared" ref="T12:T16" si="29">SUM(U12:V12)</f>
        <v>2815737</v>
      </c>
      <c r="U12" s="84">
        <v>1957039</v>
      </c>
      <c r="V12" s="84">
        <v>858698</v>
      </c>
      <c r="W12" s="135">
        <f t="shared" si="22"/>
        <v>0.30496385138242671</v>
      </c>
    </row>
    <row r="13" spans="1:220">
      <c r="A13" s="15" t="s">
        <v>25</v>
      </c>
      <c r="B13" s="528">
        <v>14</v>
      </c>
      <c r="C13" s="528">
        <v>7</v>
      </c>
      <c r="D13" s="23">
        <f t="shared" si="24"/>
        <v>21</v>
      </c>
      <c r="E13" s="82">
        <f t="shared" si="25"/>
        <v>15</v>
      </c>
      <c r="F13" s="82">
        <f t="shared" si="26"/>
        <v>10</v>
      </c>
      <c r="G13" s="85"/>
      <c r="H13" s="85"/>
      <c r="I13" s="528">
        <v>73</v>
      </c>
      <c r="J13" s="528">
        <v>176</v>
      </c>
      <c r="K13" s="23">
        <f t="shared" si="27"/>
        <v>249</v>
      </c>
      <c r="L13" s="528">
        <v>103.33</v>
      </c>
      <c r="M13" s="82">
        <f t="shared" si="28"/>
        <v>176.32999999999998</v>
      </c>
      <c r="N13" s="528">
        <v>18</v>
      </c>
      <c r="O13" s="131">
        <v>212.71999999999994</v>
      </c>
      <c r="P13" s="133">
        <f t="shared" si="20"/>
        <v>0.82893004889056054</v>
      </c>
      <c r="Q13" s="528">
        <v>72</v>
      </c>
      <c r="R13" s="528">
        <v>7</v>
      </c>
      <c r="S13" s="84">
        <v>3517429.11</v>
      </c>
      <c r="T13" s="24">
        <f t="shared" si="29"/>
        <v>2993522</v>
      </c>
      <c r="U13" s="84">
        <v>2054471</v>
      </c>
      <c r="V13" s="84">
        <v>939051</v>
      </c>
      <c r="W13" s="135">
        <f t="shared" si="22"/>
        <v>0.31369437071115563</v>
      </c>
    </row>
    <row r="14" spans="1:220">
      <c r="A14" s="15" t="s">
        <v>26</v>
      </c>
      <c r="B14" s="528">
        <v>14</v>
      </c>
      <c r="C14" s="528">
        <v>4.5</v>
      </c>
      <c r="D14" s="23">
        <f t="shared" si="24"/>
        <v>18.5</v>
      </c>
      <c r="E14" s="82">
        <f t="shared" si="25"/>
        <v>14</v>
      </c>
      <c r="F14" s="82">
        <f t="shared" si="26"/>
        <v>11</v>
      </c>
      <c r="G14" s="85"/>
      <c r="H14" s="85"/>
      <c r="I14" s="528">
        <v>69</v>
      </c>
      <c r="J14" s="528">
        <v>196</v>
      </c>
      <c r="K14" s="23">
        <f t="shared" si="27"/>
        <v>265</v>
      </c>
      <c r="L14" s="528">
        <v>117</v>
      </c>
      <c r="M14" s="82">
        <f>(I14+L14)</f>
        <v>186</v>
      </c>
      <c r="N14" s="528">
        <v>26</v>
      </c>
      <c r="O14" s="528">
        <v>200</v>
      </c>
      <c r="P14" s="133">
        <f t="shared" si="20"/>
        <v>0.93</v>
      </c>
      <c r="Q14" s="528">
        <v>128</v>
      </c>
      <c r="R14" s="528">
        <v>6</v>
      </c>
      <c r="S14" s="84">
        <v>2060205</v>
      </c>
      <c r="T14" s="24">
        <f t="shared" si="29"/>
        <v>2546747.83</v>
      </c>
      <c r="U14" s="84">
        <v>1906214.14</v>
      </c>
      <c r="V14" s="84">
        <v>640533.68999999994</v>
      </c>
      <c r="W14" s="135">
        <f t="shared" si="22"/>
        <v>0.25151044891633417</v>
      </c>
    </row>
    <row r="15" spans="1:220">
      <c r="A15" s="15" t="s">
        <v>27</v>
      </c>
      <c r="B15" s="528">
        <v>14</v>
      </c>
      <c r="C15" s="528">
        <v>6.5</v>
      </c>
      <c r="D15" s="23">
        <f t="shared" si="24"/>
        <v>20.5</v>
      </c>
      <c r="E15" s="82">
        <f t="shared" si="25"/>
        <v>17</v>
      </c>
      <c r="F15" s="82">
        <f t="shared" si="26"/>
        <v>11</v>
      </c>
      <c r="G15" s="85"/>
      <c r="H15" s="85"/>
      <c r="I15" s="528">
        <v>77</v>
      </c>
      <c r="J15" s="528">
        <v>203</v>
      </c>
      <c r="K15" s="23">
        <f t="shared" si="27"/>
        <v>280</v>
      </c>
      <c r="L15" s="528">
        <v>124.67</v>
      </c>
      <c r="M15" s="82">
        <f>(I15+L15)</f>
        <v>201.67000000000002</v>
      </c>
      <c r="N15" s="528">
        <v>22</v>
      </c>
      <c r="O15" s="528">
        <v>231.01</v>
      </c>
      <c r="P15" s="133">
        <f t="shared" si="20"/>
        <v>0.87299251114670373</v>
      </c>
      <c r="Q15" s="528">
        <v>100</v>
      </c>
      <c r="R15" s="528">
        <v>2</v>
      </c>
      <c r="S15" s="84">
        <v>1817247</v>
      </c>
      <c r="T15" s="24">
        <f t="shared" si="29"/>
        <v>2238667</v>
      </c>
      <c r="U15" s="84">
        <v>1859178</v>
      </c>
      <c r="V15" s="84">
        <v>379489</v>
      </c>
      <c r="W15" s="135">
        <f t="shared" si="22"/>
        <v>0.16951560906557339</v>
      </c>
    </row>
    <row r="16" spans="1:220">
      <c r="A16" s="15" t="s">
        <v>28</v>
      </c>
      <c r="B16" s="528">
        <v>13</v>
      </c>
      <c r="C16" s="528">
        <v>4.5</v>
      </c>
      <c r="D16" s="23">
        <f t="shared" si="24"/>
        <v>17.5</v>
      </c>
      <c r="E16" s="82">
        <f t="shared" si="25"/>
        <v>16</v>
      </c>
      <c r="F16" s="82">
        <f t="shared" si="26"/>
        <v>12</v>
      </c>
      <c r="G16" s="85"/>
      <c r="H16" s="85"/>
      <c r="I16" s="528">
        <v>70</v>
      </c>
      <c r="J16" s="528">
        <v>186</v>
      </c>
      <c r="K16" s="23">
        <f t="shared" si="27"/>
        <v>256</v>
      </c>
      <c r="L16" s="528">
        <v>109.22</v>
      </c>
      <c r="M16" s="82">
        <f>(I16+L16)</f>
        <v>179.22</v>
      </c>
      <c r="N16" s="528">
        <v>25</v>
      </c>
      <c r="O16" s="528">
        <v>208.56</v>
      </c>
      <c r="P16" s="133">
        <f t="shared" si="20"/>
        <v>0.85932105868814723</v>
      </c>
      <c r="Q16" s="528">
        <v>62</v>
      </c>
      <c r="R16" s="528">
        <v>5</v>
      </c>
      <c r="S16" s="84">
        <v>1845469.96</v>
      </c>
      <c r="T16" s="24">
        <f t="shared" si="29"/>
        <v>2122634</v>
      </c>
      <c r="U16" s="84">
        <v>1735327</v>
      </c>
      <c r="V16" s="84">
        <v>387307</v>
      </c>
      <c r="W16" s="135">
        <f t="shared" si="22"/>
        <v>0.182465276632712</v>
      </c>
    </row>
    <row r="17" spans="1:23">
      <c r="A17" s="15" t="s">
        <v>29</v>
      </c>
      <c r="B17" s="528">
        <v>13</v>
      </c>
      <c r="C17" s="528">
        <v>2</v>
      </c>
      <c r="D17" s="23">
        <f t="shared" si="24"/>
        <v>15</v>
      </c>
      <c r="E17" s="82">
        <f t="shared" si="25"/>
        <v>19</v>
      </c>
      <c r="F17" s="82">
        <f t="shared" si="26"/>
        <v>17</v>
      </c>
      <c r="G17" s="85"/>
      <c r="H17" s="85"/>
      <c r="I17" s="528">
        <v>73</v>
      </c>
      <c r="J17" s="528">
        <v>185</v>
      </c>
      <c r="K17" s="23">
        <f t="shared" si="27"/>
        <v>258</v>
      </c>
      <c r="L17" s="528">
        <v>123.95</v>
      </c>
      <c r="M17" s="82">
        <f t="shared" ref="M17:M22" si="30">(I17+L17)</f>
        <v>196.95</v>
      </c>
      <c r="N17" s="528">
        <v>25</v>
      </c>
      <c r="O17" s="528">
        <v>251</v>
      </c>
      <c r="P17" s="133">
        <f t="shared" si="20"/>
        <v>0.7846613545816733</v>
      </c>
      <c r="Q17" s="528">
        <v>73</v>
      </c>
      <c r="R17" s="528">
        <v>33</v>
      </c>
      <c r="S17" s="84">
        <v>1851643.64</v>
      </c>
      <c r="T17" s="24">
        <f t="shared" ref="T17:T22" si="31">SUM(U17:V17)</f>
        <v>2077389</v>
      </c>
      <c r="U17" s="84">
        <v>1735627</v>
      </c>
      <c r="V17" s="84">
        <v>341762</v>
      </c>
      <c r="W17" s="135">
        <f t="shared" si="22"/>
        <v>0.16451516783808906</v>
      </c>
    </row>
    <row r="18" spans="1:23">
      <c r="A18" s="15" t="s">
        <v>30</v>
      </c>
      <c r="B18" s="528">
        <v>10</v>
      </c>
      <c r="C18" s="528">
        <v>2.75</v>
      </c>
      <c r="D18" s="23">
        <f t="shared" si="24"/>
        <v>12.75</v>
      </c>
      <c r="E18" s="82">
        <f t="shared" si="25"/>
        <v>16</v>
      </c>
      <c r="F18" s="82">
        <f t="shared" si="26"/>
        <v>12</v>
      </c>
      <c r="G18" s="85"/>
      <c r="H18" s="85"/>
      <c r="I18" s="528">
        <v>69</v>
      </c>
      <c r="J18" s="528">
        <v>188</v>
      </c>
      <c r="K18" s="23">
        <f t="shared" si="27"/>
        <v>257</v>
      </c>
      <c r="L18" s="528">
        <v>67.98</v>
      </c>
      <c r="M18" s="82">
        <f t="shared" si="30"/>
        <v>136.98000000000002</v>
      </c>
      <c r="N18" s="528">
        <v>13</v>
      </c>
      <c r="O18" s="528">
        <v>159</v>
      </c>
      <c r="P18" s="133">
        <f t="shared" si="20"/>
        <v>0.86150943396226431</v>
      </c>
      <c r="Q18" s="528">
        <v>91</v>
      </c>
      <c r="R18" s="528">
        <v>4</v>
      </c>
      <c r="S18" s="84">
        <v>1683706</v>
      </c>
      <c r="T18" s="24">
        <f t="shared" si="31"/>
        <v>2199702</v>
      </c>
      <c r="U18" s="84">
        <v>1559653</v>
      </c>
      <c r="V18" s="84">
        <v>640049</v>
      </c>
      <c r="W18" s="135">
        <f t="shared" si="22"/>
        <v>0.29097077695069606</v>
      </c>
    </row>
    <row r="19" spans="1:23">
      <c r="A19" s="15" t="s">
        <v>31</v>
      </c>
      <c r="B19" s="528">
        <v>11</v>
      </c>
      <c r="C19" s="528">
        <v>1.5</v>
      </c>
      <c r="D19" s="23">
        <f t="shared" si="24"/>
        <v>12.5</v>
      </c>
      <c r="E19" s="82">
        <f t="shared" si="25"/>
        <v>18</v>
      </c>
      <c r="F19" s="82">
        <f t="shared" si="26"/>
        <v>16</v>
      </c>
      <c r="G19" s="85"/>
      <c r="H19" s="85"/>
      <c r="I19" s="528">
        <v>81</v>
      </c>
      <c r="J19" s="528">
        <v>178</v>
      </c>
      <c r="K19" s="23">
        <f t="shared" si="27"/>
        <v>259</v>
      </c>
      <c r="L19" s="528">
        <v>103</v>
      </c>
      <c r="M19" s="82">
        <f t="shared" si="30"/>
        <v>184</v>
      </c>
      <c r="N19" s="528">
        <v>18</v>
      </c>
      <c r="O19" s="528">
        <v>195</v>
      </c>
      <c r="P19" s="133">
        <f t="shared" si="20"/>
        <v>0.94358974358974357</v>
      </c>
      <c r="Q19" s="528">
        <v>84</v>
      </c>
      <c r="R19" s="528">
        <v>7</v>
      </c>
      <c r="S19" s="84">
        <v>1479412.17</v>
      </c>
      <c r="T19" s="24">
        <f t="shared" si="31"/>
        <v>2361288.87</v>
      </c>
      <c r="U19" s="84">
        <v>1478538.87</v>
      </c>
      <c r="V19" s="84">
        <v>882750</v>
      </c>
      <c r="W19" s="135">
        <f t="shared" si="22"/>
        <v>0.37384244308914222</v>
      </c>
    </row>
    <row r="20" spans="1:23">
      <c r="A20" s="15" t="s">
        <v>32</v>
      </c>
      <c r="B20" s="528">
        <v>11</v>
      </c>
      <c r="C20" s="528">
        <v>0</v>
      </c>
      <c r="D20" s="23">
        <f>SUM(B20:C20)</f>
        <v>11</v>
      </c>
      <c r="E20" s="82">
        <f>ROUND((O20/B20), 0)</f>
        <v>15</v>
      </c>
      <c r="F20" s="82">
        <f>ROUND((O20/D20), 0)</f>
        <v>15</v>
      </c>
      <c r="G20" s="85"/>
      <c r="H20" s="85"/>
      <c r="I20" s="528">
        <v>71</v>
      </c>
      <c r="J20" s="528">
        <v>128</v>
      </c>
      <c r="K20" s="23">
        <f>SUM(I20:J20)</f>
        <v>199</v>
      </c>
      <c r="L20" s="528">
        <v>74</v>
      </c>
      <c r="M20" s="82">
        <f t="shared" si="30"/>
        <v>145</v>
      </c>
      <c r="N20" s="528">
        <v>16</v>
      </c>
      <c r="O20" s="528">
        <v>164</v>
      </c>
      <c r="P20" s="133">
        <f t="shared" si="20"/>
        <v>0.88414634146341464</v>
      </c>
      <c r="Q20" s="528">
        <v>78</v>
      </c>
      <c r="R20" s="528">
        <v>3</v>
      </c>
      <c r="S20" s="84">
        <v>1631386.87</v>
      </c>
      <c r="T20" s="24">
        <f t="shared" si="31"/>
        <v>1693836.81</v>
      </c>
      <c r="U20" s="84">
        <v>1413842.12</v>
      </c>
      <c r="V20" s="84">
        <v>279994.69</v>
      </c>
      <c r="W20" s="135">
        <f t="shared" si="22"/>
        <v>0.16530204583285682</v>
      </c>
    </row>
    <row r="21" spans="1:23">
      <c r="A21" s="15">
        <v>2004</v>
      </c>
      <c r="B21" s="528">
        <v>11</v>
      </c>
      <c r="C21" s="528">
        <v>2</v>
      </c>
      <c r="D21" s="23">
        <f>SUM(B21:C21)</f>
        <v>13</v>
      </c>
      <c r="E21" s="82">
        <f>ROUND((O21/B21), 0)</f>
        <v>12</v>
      </c>
      <c r="F21" s="82">
        <f>ROUND((O21/D21), 0)</f>
        <v>10</v>
      </c>
      <c r="G21" s="85"/>
      <c r="H21" s="85"/>
      <c r="I21" s="528">
        <v>71</v>
      </c>
      <c r="J21" s="528">
        <v>106</v>
      </c>
      <c r="K21" s="23">
        <f>SUM(I21:J21)</f>
        <v>177</v>
      </c>
      <c r="L21" s="528">
        <v>49</v>
      </c>
      <c r="M21" s="82">
        <f t="shared" si="30"/>
        <v>120</v>
      </c>
      <c r="N21" s="528">
        <v>9</v>
      </c>
      <c r="O21" s="528">
        <v>134</v>
      </c>
      <c r="P21" s="133">
        <f t="shared" si="20"/>
        <v>0.89552238805970152</v>
      </c>
      <c r="Q21" s="528">
        <v>75</v>
      </c>
      <c r="R21" s="528">
        <v>4</v>
      </c>
      <c r="S21" s="132">
        <v>1257335</v>
      </c>
      <c r="T21" s="24">
        <f t="shared" si="31"/>
        <v>1568911</v>
      </c>
      <c r="U21" s="132">
        <v>1339013</v>
      </c>
      <c r="V21" s="132">
        <v>229898</v>
      </c>
      <c r="W21" s="135">
        <f t="shared" si="22"/>
        <v>0.14653348724051268</v>
      </c>
    </row>
    <row r="22" spans="1:23">
      <c r="A22" s="15">
        <v>2003</v>
      </c>
      <c r="B22" s="528">
        <v>10</v>
      </c>
      <c r="C22" s="528">
        <v>2</v>
      </c>
      <c r="D22" s="23">
        <f>SUM(B22:C22)</f>
        <v>12</v>
      </c>
      <c r="E22" s="82">
        <f>ROUND((O22/B22), 0)</f>
        <v>14</v>
      </c>
      <c r="F22" s="82">
        <f>ROUND((O22/D22), 0)</f>
        <v>12</v>
      </c>
      <c r="G22" s="85"/>
      <c r="H22" s="85"/>
      <c r="I22" s="528">
        <v>64</v>
      </c>
      <c r="J22" s="528">
        <v>108</v>
      </c>
      <c r="K22" s="23">
        <f>SUM(I22:J22)</f>
        <v>172</v>
      </c>
      <c r="L22" s="528">
        <f>ROUND(49.92, 0)</f>
        <v>50</v>
      </c>
      <c r="M22" s="82">
        <f t="shared" si="30"/>
        <v>114</v>
      </c>
      <c r="N22" s="528">
        <v>11</v>
      </c>
      <c r="O22" s="528">
        <v>139</v>
      </c>
      <c r="P22" s="133">
        <f t="shared" si="20"/>
        <v>0.82014388489208634</v>
      </c>
      <c r="Q22" s="528">
        <v>91</v>
      </c>
      <c r="R22" s="528">
        <v>7</v>
      </c>
      <c r="S22" s="132">
        <v>1608434.27</v>
      </c>
      <c r="T22" s="24">
        <f t="shared" si="31"/>
        <v>1642965</v>
      </c>
      <c r="U22" s="132">
        <v>1396039.06</v>
      </c>
      <c r="V22" s="132">
        <v>246925.94</v>
      </c>
      <c r="W22" s="135">
        <f t="shared" si="22"/>
        <v>0.15029287903272437</v>
      </c>
    </row>
    <row r="23" spans="1:23">
      <c r="A23" s="15">
        <v>2002</v>
      </c>
      <c r="B23" s="528">
        <v>8</v>
      </c>
      <c r="C23" s="528">
        <v>2.5</v>
      </c>
      <c r="D23" s="23">
        <f>SUM(B23:C23)</f>
        <v>10.5</v>
      </c>
      <c r="E23" s="82">
        <f>ROUND((O23/B23), 0)</f>
        <v>16</v>
      </c>
      <c r="F23" s="82">
        <f>ROUND((O23/D23), 0)</f>
        <v>12</v>
      </c>
      <c r="G23" s="85"/>
      <c r="H23" s="85"/>
      <c r="I23" s="528">
        <v>62</v>
      </c>
      <c r="J23" s="528">
        <v>101</v>
      </c>
      <c r="K23" s="23">
        <f>SUM(I23:J23)</f>
        <v>163</v>
      </c>
      <c r="L23" s="528">
        <f>ROUND(49.99,0)</f>
        <v>50</v>
      </c>
      <c r="M23" s="82">
        <f>(I23+L23)</f>
        <v>112</v>
      </c>
      <c r="N23" s="528">
        <v>9</v>
      </c>
      <c r="O23" s="528">
        <f>ROUND(123.99, 0)</f>
        <v>124</v>
      </c>
      <c r="P23" s="133">
        <f t="shared" si="20"/>
        <v>0.90322580645161288</v>
      </c>
      <c r="Q23" s="528">
        <v>79</v>
      </c>
      <c r="R23" s="528">
        <v>9</v>
      </c>
      <c r="S23" s="132">
        <v>1555116.97</v>
      </c>
      <c r="T23" s="24">
        <f>SUM(U23:V23)</f>
        <v>1555116.97</v>
      </c>
      <c r="U23" s="132">
        <v>1292989.1299999999</v>
      </c>
      <c r="V23" s="132">
        <v>262127.84</v>
      </c>
      <c r="W23" s="135">
        <f t="shared" si="22"/>
        <v>0.16855827893126266</v>
      </c>
    </row>
    <row r="24" spans="1:23" s="12" customFormat="1">
      <c r="G24"/>
      <c r="H24"/>
    </row>
    <row r="25" spans="1:23" s="12" customFormat="1">
      <c r="G25"/>
      <c r="H25"/>
    </row>
    <row r="26" spans="1:23" s="12" customFormat="1">
      <c r="G26"/>
      <c r="H26"/>
    </row>
    <row r="27" spans="1:23" s="12" customFormat="1">
      <c r="G27"/>
      <c r="H27"/>
    </row>
    <row r="28" spans="1:23" s="12" customFormat="1">
      <c r="G28"/>
      <c r="H28"/>
    </row>
    <row r="29" spans="1:23" s="12" customFormat="1">
      <c r="G29"/>
      <c r="H29"/>
    </row>
    <row r="30" spans="1:23" s="12" customFormat="1">
      <c r="G30"/>
      <c r="H30"/>
    </row>
    <row r="31" spans="1:23" s="12" customFormat="1">
      <c r="G31"/>
      <c r="H31"/>
    </row>
    <row r="32" spans="1:23" s="12" customFormat="1">
      <c r="G32"/>
      <c r="H32"/>
    </row>
    <row r="33" spans="7:8" s="12" customFormat="1">
      <c r="G33"/>
      <c r="H33"/>
    </row>
    <row r="34" spans="7:8" s="12" customFormat="1">
      <c r="G34"/>
      <c r="H34"/>
    </row>
    <row r="35" spans="7:8" s="12" customFormat="1">
      <c r="G35"/>
      <c r="H35"/>
    </row>
  </sheetData>
  <printOptions headings="1" gridLines="1"/>
  <pageMargins left="0.5" right="0.5" top="0.5" bottom="0.5" header="0" footer="0"/>
  <pageSetup paperSize="5" scale="67" orientation="landscape" r:id="rId1"/>
  <ignoredErrors>
    <ignoredError sqref="A13:A20" numberStoredAsText="1"/>
    <ignoredError sqref="D8:D9 D12 D21:D23 K8:K9" formulaRange="1"/>
  </ignoredErrors>
  <legacyDrawing r:id="rId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L34"/>
  <sheetViews>
    <sheetView workbookViewId="0">
      <selection activeCell="I4" sqref="I4"/>
    </sheetView>
  </sheetViews>
  <sheetFormatPr defaultColWidth="8.85546875" defaultRowHeight="15"/>
  <cols>
    <col min="1" max="1" width="13.7109375" bestFit="1"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3" width="13.140625" bestFit="1" customWidth="1"/>
    <col min="14" max="14" width="11.42578125"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1.28515625" bestFit="1" customWidth="1"/>
    <col min="22" max="22" width="10.85546875" bestFit="1" customWidth="1"/>
    <col min="23" max="23" width="12.85546875" bestFit="1" customWidth="1"/>
  </cols>
  <sheetData>
    <row r="1" spans="1:220" s="1" customFormat="1" ht="18.75">
      <c r="A1" s="1" t="s">
        <v>83</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row>
    <row r="2" spans="1:220" s="3"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row>
    <row r="3" spans="1:220" s="64" customFormat="1">
      <c r="A3" s="105">
        <v>2022</v>
      </c>
      <c r="B3" s="66">
        <v>57</v>
      </c>
      <c r="C3" s="66">
        <v>13.49</v>
      </c>
      <c r="D3" s="65">
        <f t="shared" ref="D3" si="0">SUM(B3:C3)</f>
        <v>70.489999999999995</v>
      </c>
      <c r="E3" s="13">
        <f t="shared" ref="E3" si="1">ROUND((O3/B3), 0)</f>
        <v>28</v>
      </c>
      <c r="F3" s="13">
        <f t="shared" ref="F3" si="2">ROUND((O3/D3), 0)</f>
        <v>23</v>
      </c>
      <c r="G3" s="66">
        <v>57</v>
      </c>
      <c r="H3" s="66">
        <v>13.49</v>
      </c>
      <c r="I3" s="66">
        <v>282</v>
      </c>
      <c r="J3" s="66">
        <v>292</v>
      </c>
      <c r="K3" s="65">
        <f t="shared" ref="K3" si="3">SUM(I3:J3)</f>
        <v>574</v>
      </c>
      <c r="L3" s="66">
        <v>195.64</v>
      </c>
      <c r="M3" s="13">
        <f t="shared" ref="M3" si="4">(I3+L3)</f>
        <v>477.64</v>
      </c>
      <c r="N3" s="66">
        <v>132</v>
      </c>
      <c r="O3" s="66">
        <v>1605.27</v>
      </c>
      <c r="P3" s="134">
        <f>M3/O3</f>
        <v>0.29754496128377156</v>
      </c>
      <c r="Q3" s="66">
        <v>292</v>
      </c>
      <c r="R3" s="66">
        <v>165</v>
      </c>
      <c r="S3" s="20">
        <v>26693084</v>
      </c>
      <c r="T3" s="24">
        <f t="shared" ref="T3" si="5">SUM(U3:V3)</f>
        <v>31768047</v>
      </c>
      <c r="U3" s="307">
        <v>20195489</v>
      </c>
      <c r="V3" s="20">
        <v>11572558</v>
      </c>
      <c r="W3" s="135">
        <f t="shared" ref="W3" si="6">V3/T3</f>
        <v>0.36428295387500531</v>
      </c>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row>
    <row r="4" spans="1:220" s="3" customFormat="1">
      <c r="A4" s="105">
        <v>2021</v>
      </c>
      <c r="B4" s="66">
        <v>47</v>
      </c>
      <c r="C4" s="66">
        <v>8.9600000000000009</v>
      </c>
      <c r="D4" s="65">
        <f>SUM(B4:C4)</f>
        <v>55.96</v>
      </c>
      <c r="E4" s="13">
        <f t="shared" ref="E4" si="7">ROUND((O4/B4), 0)</f>
        <v>28</v>
      </c>
      <c r="F4" s="13">
        <f t="shared" ref="F4" si="8">ROUND((O4/D4), 0)</f>
        <v>24</v>
      </c>
      <c r="G4" s="66">
        <v>47</v>
      </c>
      <c r="H4" s="66">
        <v>8.9600000000000009</v>
      </c>
      <c r="I4" s="66">
        <v>291</v>
      </c>
      <c r="J4" s="66">
        <v>335</v>
      </c>
      <c r="K4" s="65">
        <f t="shared" ref="K4" si="9">SUM(I4:J4)</f>
        <v>626</v>
      </c>
      <c r="L4" s="66">
        <v>221.1</v>
      </c>
      <c r="M4" s="13">
        <f>(I4+L4)</f>
        <v>512.1</v>
      </c>
      <c r="N4" s="66">
        <v>144</v>
      </c>
      <c r="O4" s="66">
        <v>1317.5</v>
      </c>
      <c r="P4" s="134">
        <f t="shared" ref="P4" si="10">M4/O4</f>
        <v>0.38869070208728657</v>
      </c>
      <c r="Q4" s="66">
        <v>251</v>
      </c>
      <c r="R4" s="66">
        <v>157</v>
      </c>
      <c r="S4" s="20">
        <v>16196667</v>
      </c>
      <c r="T4" s="24">
        <f t="shared" ref="T4" si="11">SUM(U4:V4)</f>
        <v>21776759</v>
      </c>
      <c r="U4" s="366">
        <v>13005090</v>
      </c>
      <c r="V4" s="20">
        <v>8771669</v>
      </c>
      <c r="W4" s="135">
        <f t="shared" ref="W4" si="12">V4/T4</f>
        <v>0.40279956259790539</v>
      </c>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row>
    <row r="5" spans="1:220" s="3" customFormat="1">
      <c r="A5" s="105">
        <v>2020</v>
      </c>
      <c r="B5" s="66">
        <v>45</v>
      </c>
      <c r="C5" s="66">
        <v>12.01</v>
      </c>
      <c r="D5" s="65">
        <f>SUM(B5:C5)</f>
        <v>57.01</v>
      </c>
      <c r="E5" s="13">
        <f>ROUND((O5/B5), 0)</f>
        <v>19</v>
      </c>
      <c r="F5" s="13">
        <f>ROUND((O5/D5), 0)</f>
        <v>15</v>
      </c>
      <c r="G5" s="66">
        <v>45</v>
      </c>
      <c r="H5" s="66">
        <v>12.01</v>
      </c>
      <c r="I5" s="66">
        <v>261</v>
      </c>
      <c r="J5" s="66">
        <v>291</v>
      </c>
      <c r="K5" s="65">
        <f t="shared" ref="K5" si="13">SUM(I5:J5)</f>
        <v>552</v>
      </c>
      <c r="L5" s="66">
        <v>194.97</v>
      </c>
      <c r="M5" s="13">
        <f>(I5+L5)</f>
        <v>455.97</v>
      </c>
      <c r="N5" s="66">
        <v>121</v>
      </c>
      <c r="O5" s="66">
        <v>868.2</v>
      </c>
      <c r="P5" s="134">
        <f t="shared" ref="P5" si="14">M5/O5</f>
        <v>0.52519004837595029</v>
      </c>
      <c r="Q5" s="66">
        <v>214</v>
      </c>
      <c r="R5" s="66">
        <v>149</v>
      </c>
      <c r="S5" s="20">
        <v>15341103</v>
      </c>
      <c r="T5" s="24">
        <f>SUM(U5:V5)</f>
        <v>15863432</v>
      </c>
      <c r="U5" s="366">
        <v>12525427</v>
      </c>
      <c r="V5" s="20">
        <v>3338005</v>
      </c>
      <c r="W5" s="135">
        <f t="shared" ref="W5" si="15">V5/T5</f>
        <v>0.21042136405287329</v>
      </c>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row>
    <row r="6" spans="1:220">
      <c r="A6" s="105">
        <v>2019</v>
      </c>
      <c r="B6" s="66">
        <v>44</v>
      </c>
      <c r="C6" s="66">
        <v>10.88</v>
      </c>
      <c r="D6" s="65">
        <f>SUM(B6:C6)</f>
        <v>54.88</v>
      </c>
      <c r="E6" s="13">
        <f>ROUND((O6/B6), 0)</f>
        <v>16</v>
      </c>
      <c r="F6" s="13">
        <f>ROUND((O6/D6), 0)</f>
        <v>13</v>
      </c>
      <c r="G6" s="66">
        <v>44</v>
      </c>
      <c r="H6" s="66">
        <v>10.88</v>
      </c>
      <c r="I6" s="66">
        <v>225</v>
      </c>
      <c r="J6" s="66">
        <v>264</v>
      </c>
      <c r="K6" s="65">
        <f t="shared" ref="K6" si="16">SUM(I6:J6)</f>
        <v>489</v>
      </c>
      <c r="L6" s="66">
        <f>J6*0.67</f>
        <v>176.88000000000002</v>
      </c>
      <c r="M6" s="13">
        <f>(I6+L6)</f>
        <v>401.88</v>
      </c>
      <c r="N6" s="66">
        <v>102</v>
      </c>
      <c r="O6" s="66">
        <v>722.38</v>
      </c>
      <c r="P6" s="134">
        <f t="shared" ref="P6" si="17">M6/O6</f>
        <v>0.55632769456518727</v>
      </c>
      <c r="Q6" s="66">
        <f>59+174</f>
        <v>233</v>
      </c>
      <c r="R6" s="66">
        <f>(65+2+1+4)+(71+1+1+4)</f>
        <v>149</v>
      </c>
      <c r="S6" s="20">
        <v>13712422</v>
      </c>
      <c r="T6" s="24">
        <f>SUM(U6:V6)</f>
        <v>15819980</v>
      </c>
      <c r="U6" s="307">
        <v>11678257</v>
      </c>
      <c r="V6" s="20">
        <f>2162751+0+1776693+0+202279</f>
        <v>4141723</v>
      </c>
      <c r="W6" s="135">
        <f t="shared" ref="W6" si="18">V6/T6</f>
        <v>0.2618033019005081</v>
      </c>
    </row>
    <row r="7" spans="1:220" s="14" customFormat="1">
      <c r="A7" s="10">
        <v>2018</v>
      </c>
      <c r="B7" s="17">
        <v>36</v>
      </c>
      <c r="C7" s="17">
        <v>14.75</v>
      </c>
      <c r="D7" s="23">
        <f>SUM(B7:C7)</f>
        <v>50.75</v>
      </c>
      <c r="E7" s="82">
        <f>ROUND((O7/B7), 0)</f>
        <v>18</v>
      </c>
      <c r="F7" s="82">
        <f>ROUND((O7/D7), 0)</f>
        <v>13</v>
      </c>
      <c r="G7" s="17">
        <v>36</v>
      </c>
      <c r="H7" s="17">
        <v>14.75</v>
      </c>
      <c r="I7" s="17">
        <v>129</v>
      </c>
      <c r="J7" s="17">
        <v>337</v>
      </c>
      <c r="K7" s="23">
        <f>SUM(I7:J7)</f>
        <v>466</v>
      </c>
      <c r="L7" s="17">
        <v>226</v>
      </c>
      <c r="M7" s="82">
        <f>(I7+L7)</f>
        <v>355</v>
      </c>
      <c r="N7" s="17">
        <v>85</v>
      </c>
      <c r="O7" s="17">
        <v>661</v>
      </c>
      <c r="P7" s="133">
        <f>M7/O7</f>
        <v>0.53706505295007567</v>
      </c>
      <c r="Q7" s="17">
        <v>242</v>
      </c>
      <c r="R7" s="17">
        <v>70</v>
      </c>
      <c r="S7" s="20">
        <v>12677394</v>
      </c>
      <c r="T7" s="24">
        <f>SUM(U7:V7)</f>
        <v>12809324</v>
      </c>
      <c r="U7" s="20">
        <v>9785721</v>
      </c>
      <c r="V7" s="20">
        <v>3023603</v>
      </c>
      <c r="W7" s="135">
        <f>V7/T7</f>
        <v>0.23604703886013031</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33</v>
      </c>
      <c r="C8" s="17">
        <v>12</v>
      </c>
      <c r="D8" s="27">
        <f>SUM(B8:C8)</f>
        <v>45</v>
      </c>
      <c r="E8" s="27">
        <f>ROUND((O8/B8), 0)</f>
        <v>18</v>
      </c>
      <c r="F8" s="27">
        <f>ROUND((O8/D8), 0)</f>
        <v>14</v>
      </c>
      <c r="G8" s="17">
        <v>33</v>
      </c>
      <c r="H8" s="17">
        <v>12</v>
      </c>
      <c r="I8" s="17">
        <v>155</v>
      </c>
      <c r="J8" s="17">
        <v>334</v>
      </c>
      <c r="K8" s="27">
        <f>SUM(I8:J8)</f>
        <v>489</v>
      </c>
      <c r="L8" s="17">
        <v>224</v>
      </c>
      <c r="M8" s="29">
        <f>(I8+L8)</f>
        <v>379</v>
      </c>
      <c r="N8" s="255">
        <v>66</v>
      </c>
      <c r="O8" s="255">
        <v>608</v>
      </c>
      <c r="P8" s="133">
        <f t="shared" ref="P8:P23" si="19">M8/O8</f>
        <v>0.62335526315789469</v>
      </c>
      <c r="Q8" s="17">
        <v>256</v>
      </c>
      <c r="R8" s="17">
        <v>18</v>
      </c>
      <c r="S8" s="223">
        <v>12453343</v>
      </c>
      <c r="T8" s="28">
        <f>SUM(U8:V8)</f>
        <v>11623290</v>
      </c>
      <c r="U8" s="252">
        <v>7896426</v>
      </c>
      <c r="V8" s="20">
        <v>3726864</v>
      </c>
      <c r="W8" s="135">
        <f t="shared" ref="W8:W23" si="20">V8/T8</f>
        <v>0.32063761637195665</v>
      </c>
    </row>
    <row r="9" spans="1:220" s="64" customFormat="1">
      <c r="A9" s="10">
        <v>2016</v>
      </c>
      <c r="B9" s="54">
        <v>31</v>
      </c>
      <c r="C9" s="54">
        <v>11.5</v>
      </c>
      <c r="D9" s="65">
        <f>B9+C9</f>
        <v>42.5</v>
      </c>
      <c r="E9" s="13">
        <f>ROUND((O9/B9), 0)</f>
        <v>15</v>
      </c>
      <c r="F9" s="13">
        <f>ROUND((O9/D9), 0)</f>
        <v>11</v>
      </c>
      <c r="G9" s="54">
        <v>31</v>
      </c>
      <c r="H9" s="54">
        <v>11.5</v>
      </c>
      <c r="I9" s="54">
        <v>156</v>
      </c>
      <c r="J9" s="54">
        <v>338</v>
      </c>
      <c r="K9" s="65">
        <f>I9+J9</f>
        <v>494</v>
      </c>
      <c r="L9" s="54">
        <v>226</v>
      </c>
      <c r="M9" s="13">
        <f>I9+L9</f>
        <v>382</v>
      </c>
      <c r="N9" s="54">
        <v>81</v>
      </c>
      <c r="O9" s="54">
        <v>474</v>
      </c>
      <c r="P9" s="133">
        <f t="shared" si="19"/>
        <v>0.80590717299578063</v>
      </c>
      <c r="Q9" s="54">
        <v>233</v>
      </c>
      <c r="R9" s="54">
        <v>11</v>
      </c>
      <c r="S9" s="58">
        <v>11314627</v>
      </c>
      <c r="T9" s="68">
        <f>SUM(U9:V9)</f>
        <v>10912527</v>
      </c>
      <c r="U9" s="55">
        <v>7311781</v>
      </c>
      <c r="V9" s="55">
        <v>3600746</v>
      </c>
      <c r="W9" s="135">
        <f t="shared" si="20"/>
        <v>0.32996445277981901</v>
      </c>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row>
    <row r="10" spans="1:220">
      <c r="A10" s="15">
        <v>2015</v>
      </c>
      <c r="B10" s="70">
        <v>29</v>
      </c>
      <c r="C10" s="70">
        <v>9</v>
      </c>
      <c r="D10" s="65">
        <v>38</v>
      </c>
      <c r="E10" s="65">
        <v>15.1</v>
      </c>
      <c r="F10" s="65">
        <v>11.6</v>
      </c>
      <c r="G10" s="83"/>
      <c r="H10" s="83"/>
      <c r="I10" s="70">
        <v>169</v>
      </c>
      <c r="J10" s="70">
        <v>310</v>
      </c>
      <c r="K10" s="65">
        <v>479</v>
      </c>
      <c r="L10" s="70">
        <v>207</v>
      </c>
      <c r="M10" s="65">
        <v>376</v>
      </c>
      <c r="N10" s="70">
        <v>75</v>
      </c>
      <c r="O10" s="70">
        <v>439</v>
      </c>
      <c r="P10" s="133">
        <f t="shared" si="19"/>
        <v>0.85649202733485197</v>
      </c>
      <c r="Q10" s="70">
        <v>238</v>
      </c>
      <c r="R10" s="70">
        <v>11</v>
      </c>
      <c r="S10" s="78">
        <v>11079930</v>
      </c>
      <c r="T10" s="79">
        <v>11079930</v>
      </c>
      <c r="U10" s="78">
        <v>8016948</v>
      </c>
      <c r="V10" s="78">
        <v>3062982</v>
      </c>
      <c r="W10" s="135">
        <f t="shared" si="20"/>
        <v>0.27644416526097187</v>
      </c>
    </row>
    <row r="11" spans="1:220">
      <c r="A11" s="15">
        <v>2014</v>
      </c>
      <c r="B11" s="70">
        <v>28</v>
      </c>
      <c r="C11" s="70">
        <v>9.5</v>
      </c>
      <c r="D11" s="65">
        <f>B11+C11</f>
        <v>37.5</v>
      </c>
      <c r="E11" s="13">
        <f t="shared" ref="E11:E23" si="21">ROUND((O11/B11), 0)</f>
        <v>16</v>
      </c>
      <c r="F11" s="13">
        <f t="shared" ref="F11:F23" si="22">ROUND((O11/D11), 0)</f>
        <v>12</v>
      </c>
      <c r="G11" s="83"/>
      <c r="H11" s="83"/>
      <c r="I11" s="70">
        <v>138</v>
      </c>
      <c r="J11" s="70">
        <v>346</v>
      </c>
      <c r="K11" s="65">
        <f>I11+J11</f>
        <v>484</v>
      </c>
      <c r="L11" s="70">
        <v>232</v>
      </c>
      <c r="M11" s="13">
        <f>I11+L11</f>
        <v>370</v>
      </c>
      <c r="N11" s="70">
        <v>80</v>
      </c>
      <c r="O11" s="70">
        <v>437</v>
      </c>
      <c r="P11" s="133">
        <f t="shared" si="19"/>
        <v>0.84668192219679639</v>
      </c>
      <c r="Q11" s="70">
        <v>274</v>
      </c>
      <c r="R11" s="70">
        <v>9</v>
      </c>
      <c r="S11" s="71">
        <v>9434810</v>
      </c>
      <c r="T11" s="68">
        <f t="shared" ref="T11:T23" si="23">SUM(U11:V11)</f>
        <v>9434810</v>
      </c>
      <c r="U11" s="71">
        <v>7280952</v>
      </c>
      <c r="V11" s="71">
        <v>2153858</v>
      </c>
      <c r="W11" s="135">
        <f t="shared" si="20"/>
        <v>0.22828843400132065</v>
      </c>
    </row>
    <row r="12" spans="1:220">
      <c r="A12" s="15">
        <v>2013</v>
      </c>
      <c r="B12" s="528">
        <v>26</v>
      </c>
      <c r="C12" s="528">
        <v>12</v>
      </c>
      <c r="D12" s="23">
        <f>B12+C12</f>
        <v>38</v>
      </c>
      <c r="E12" s="82">
        <f t="shared" si="21"/>
        <v>18</v>
      </c>
      <c r="F12" s="82">
        <f t="shared" si="22"/>
        <v>12</v>
      </c>
      <c r="G12" s="85"/>
      <c r="H12" s="85"/>
      <c r="I12" s="528">
        <v>147</v>
      </c>
      <c r="J12" s="528">
        <v>374</v>
      </c>
      <c r="K12" s="23">
        <f>I12+J12</f>
        <v>521</v>
      </c>
      <c r="L12" s="528">
        <v>251</v>
      </c>
      <c r="M12" s="82">
        <f>I12+L12</f>
        <v>398</v>
      </c>
      <c r="N12" s="528">
        <v>82</v>
      </c>
      <c r="O12" s="528">
        <v>462</v>
      </c>
      <c r="P12" s="133">
        <f t="shared" si="19"/>
        <v>0.8614718614718615</v>
      </c>
      <c r="Q12" s="528">
        <v>281</v>
      </c>
      <c r="R12" s="528">
        <v>10</v>
      </c>
      <c r="S12" s="84">
        <v>9919192</v>
      </c>
      <c r="T12" s="24">
        <f t="shared" si="23"/>
        <v>9919192</v>
      </c>
      <c r="U12" s="84">
        <v>6886764</v>
      </c>
      <c r="V12" s="84">
        <v>3032428</v>
      </c>
      <c r="W12" s="135">
        <f t="shared" si="20"/>
        <v>0.30571320728543211</v>
      </c>
    </row>
    <row r="13" spans="1:220">
      <c r="A13" s="15">
        <v>2012</v>
      </c>
      <c r="B13" s="528">
        <v>25</v>
      </c>
      <c r="C13" s="528">
        <v>9.75</v>
      </c>
      <c r="D13" s="23">
        <f>B13+C13</f>
        <v>34.75</v>
      </c>
      <c r="E13" s="82">
        <f t="shared" si="21"/>
        <v>19</v>
      </c>
      <c r="F13" s="82">
        <f t="shared" si="22"/>
        <v>14</v>
      </c>
      <c r="G13" s="85"/>
      <c r="H13" s="85"/>
      <c r="I13" s="528">
        <v>183</v>
      </c>
      <c r="J13" s="528">
        <v>415</v>
      </c>
      <c r="K13" s="23">
        <f>I13+J13</f>
        <v>598</v>
      </c>
      <c r="L13" s="528">
        <v>246</v>
      </c>
      <c r="M13" s="82">
        <f>I13+L13</f>
        <v>429</v>
      </c>
      <c r="N13" s="528">
        <v>69</v>
      </c>
      <c r="O13" s="528">
        <v>483</v>
      </c>
      <c r="P13" s="133">
        <f t="shared" si="19"/>
        <v>0.88819875776397517</v>
      </c>
      <c r="Q13" s="528">
        <v>296</v>
      </c>
      <c r="R13" s="528">
        <v>14</v>
      </c>
      <c r="S13" s="84">
        <v>10330570</v>
      </c>
      <c r="T13" s="24">
        <f t="shared" si="23"/>
        <v>10330499</v>
      </c>
      <c r="U13" s="84">
        <v>6499025</v>
      </c>
      <c r="V13" s="84">
        <v>3831474</v>
      </c>
      <c r="W13" s="135">
        <f t="shared" si="20"/>
        <v>0.37088953786259504</v>
      </c>
    </row>
    <row r="14" spans="1:220">
      <c r="A14" s="15" t="s">
        <v>26</v>
      </c>
      <c r="B14" s="528">
        <v>26</v>
      </c>
      <c r="C14" s="528">
        <v>10.25</v>
      </c>
      <c r="D14" s="23">
        <f t="shared" ref="D14:D23" si="24">SUM(B14:C14)</f>
        <v>36.25</v>
      </c>
      <c r="E14" s="82">
        <f t="shared" si="21"/>
        <v>20</v>
      </c>
      <c r="F14" s="82">
        <f t="shared" si="22"/>
        <v>14</v>
      </c>
      <c r="G14" s="85"/>
      <c r="H14" s="85"/>
      <c r="I14" s="528">
        <v>197</v>
      </c>
      <c r="J14" s="528">
        <v>421</v>
      </c>
      <c r="K14" s="23">
        <f t="shared" ref="K14:K23" si="25">SUM(I14:J14)</f>
        <v>618</v>
      </c>
      <c r="L14" s="528">
        <v>251.8</v>
      </c>
      <c r="M14" s="82">
        <f t="shared" ref="M14:M23" si="26">(I14+L14)</f>
        <v>448.8</v>
      </c>
      <c r="N14" s="528">
        <v>106</v>
      </c>
      <c r="O14" s="528">
        <v>512.9</v>
      </c>
      <c r="P14" s="133">
        <f t="shared" si="19"/>
        <v>0.87502437122246057</v>
      </c>
      <c r="Q14" s="528">
        <v>308</v>
      </c>
      <c r="R14" s="528">
        <v>26</v>
      </c>
      <c r="S14" s="84">
        <v>10940798</v>
      </c>
      <c r="T14" s="24">
        <f t="shared" si="23"/>
        <v>10940797.879999999</v>
      </c>
      <c r="U14" s="84">
        <v>6674303.1500000004</v>
      </c>
      <c r="V14" s="84">
        <v>4266494.7299999995</v>
      </c>
      <c r="W14" s="135">
        <f t="shared" si="20"/>
        <v>0.3899619366700155</v>
      </c>
    </row>
    <row r="15" spans="1:220">
      <c r="A15" s="15" t="s">
        <v>27</v>
      </c>
      <c r="B15" s="528">
        <v>27</v>
      </c>
      <c r="C15" s="528">
        <v>10.5</v>
      </c>
      <c r="D15" s="23">
        <f t="shared" si="24"/>
        <v>37.5</v>
      </c>
      <c r="E15" s="82">
        <f t="shared" si="21"/>
        <v>18</v>
      </c>
      <c r="F15" s="82">
        <f t="shared" si="22"/>
        <v>13</v>
      </c>
      <c r="G15" s="85"/>
      <c r="H15" s="85"/>
      <c r="I15" s="528">
        <v>190</v>
      </c>
      <c r="J15" s="528">
        <v>427</v>
      </c>
      <c r="K15" s="23">
        <f t="shared" si="25"/>
        <v>617</v>
      </c>
      <c r="L15" s="528">
        <v>224.4</v>
      </c>
      <c r="M15" s="82">
        <f t="shared" si="26"/>
        <v>414.4</v>
      </c>
      <c r="N15" s="528">
        <v>102</v>
      </c>
      <c r="O15" s="528">
        <v>480.9</v>
      </c>
      <c r="P15" s="133">
        <f t="shared" si="19"/>
        <v>0.86171761280931591</v>
      </c>
      <c r="Q15" s="528">
        <v>240</v>
      </c>
      <c r="R15" s="528">
        <v>14</v>
      </c>
      <c r="S15" s="84">
        <v>10645839.52</v>
      </c>
      <c r="T15" s="24">
        <f t="shared" si="23"/>
        <v>10645840</v>
      </c>
      <c r="U15" s="84">
        <v>6424066</v>
      </c>
      <c r="V15" s="84">
        <v>4221774</v>
      </c>
      <c r="W15" s="135">
        <f t="shared" si="20"/>
        <v>0.39656560684736947</v>
      </c>
    </row>
    <row r="16" spans="1:220">
      <c r="A16" s="15" t="s">
        <v>28</v>
      </c>
      <c r="B16" s="528">
        <v>26</v>
      </c>
      <c r="C16" s="528">
        <v>10.5</v>
      </c>
      <c r="D16" s="23">
        <f t="shared" si="24"/>
        <v>36.5</v>
      </c>
      <c r="E16" s="82">
        <f t="shared" si="21"/>
        <v>21</v>
      </c>
      <c r="F16" s="82">
        <f t="shared" si="22"/>
        <v>15</v>
      </c>
      <c r="G16" s="85"/>
      <c r="H16" s="85"/>
      <c r="I16" s="528">
        <v>258</v>
      </c>
      <c r="J16" s="528">
        <v>284</v>
      </c>
      <c r="K16" s="23">
        <f t="shared" si="25"/>
        <v>542</v>
      </c>
      <c r="L16" s="528">
        <v>114</v>
      </c>
      <c r="M16" s="82">
        <f t="shared" si="26"/>
        <v>372</v>
      </c>
      <c r="N16" s="528">
        <v>93</v>
      </c>
      <c r="O16" s="528">
        <v>535</v>
      </c>
      <c r="P16" s="133">
        <f t="shared" si="19"/>
        <v>0.69532710280373833</v>
      </c>
      <c r="Q16" s="528">
        <v>256</v>
      </c>
      <c r="R16" s="528">
        <v>13</v>
      </c>
      <c r="S16" s="84">
        <v>9973324</v>
      </c>
      <c r="T16" s="24">
        <f t="shared" si="23"/>
        <v>9973324</v>
      </c>
      <c r="U16" s="84">
        <v>5831128</v>
      </c>
      <c r="V16" s="84">
        <v>4142196</v>
      </c>
      <c r="W16" s="135">
        <f t="shared" si="20"/>
        <v>0.41532752771292702</v>
      </c>
    </row>
    <row r="17" spans="1:23">
      <c r="A17" s="15" t="s">
        <v>29</v>
      </c>
      <c r="B17" s="528">
        <v>26</v>
      </c>
      <c r="C17" s="528">
        <v>8.25</v>
      </c>
      <c r="D17" s="23">
        <f t="shared" si="24"/>
        <v>34.25</v>
      </c>
      <c r="E17" s="82">
        <f t="shared" si="21"/>
        <v>20</v>
      </c>
      <c r="F17" s="82">
        <f t="shared" si="22"/>
        <v>15</v>
      </c>
      <c r="G17" s="85"/>
      <c r="H17" s="85"/>
      <c r="I17" s="528">
        <v>227</v>
      </c>
      <c r="J17" s="528">
        <v>289</v>
      </c>
      <c r="K17" s="23">
        <f t="shared" si="25"/>
        <v>516</v>
      </c>
      <c r="L17" s="528">
        <v>115</v>
      </c>
      <c r="M17" s="82">
        <f t="shared" si="26"/>
        <v>342</v>
      </c>
      <c r="N17" s="528">
        <v>74</v>
      </c>
      <c r="O17" s="528">
        <v>507</v>
      </c>
      <c r="P17" s="133">
        <f t="shared" si="19"/>
        <v>0.67455621301775148</v>
      </c>
      <c r="Q17" s="528">
        <v>204</v>
      </c>
      <c r="R17" s="528">
        <v>16</v>
      </c>
      <c r="S17" s="84">
        <v>8411643</v>
      </c>
      <c r="T17" s="24">
        <f t="shared" si="23"/>
        <v>8411643</v>
      </c>
      <c r="U17" s="84">
        <v>5127614</v>
      </c>
      <c r="V17" s="84">
        <v>3284029</v>
      </c>
      <c r="W17" s="135">
        <f t="shared" si="20"/>
        <v>0.3904146906852799</v>
      </c>
    </row>
    <row r="18" spans="1:23">
      <c r="A18" s="15">
        <v>2007</v>
      </c>
      <c r="B18" s="528">
        <v>24</v>
      </c>
      <c r="C18" s="528">
        <v>8.5</v>
      </c>
      <c r="D18" s="23">
        <f t="shared" si="24"/>
        <v>32.5</v>
      </c>
      <c r="E18" s="82">
        <f t="shared" si="21"/>
        <v>16</v>
      </c>
      <c r="F18" s="82">
        <f t="shared" si="22"/>
        <v>12</v>
      </c>
      <c r="G18" s="85"/>
      <c r="H18" s="85"/>
      <c r="I18" s="528">
        <v>214</v>
      </c>
      <c r="J18" s="528">
        <v>247</v>
      </c>
      <c r="K18" s="23">
        <f t="shared" si="25"/>
        <v>461</v>
      </c>
      <c r="L18" s="528">
        <v>103</v>
      </c>
      <c r="M18" s="82">
        <f t="shared" si="26"/>
        <v>317</v>
      </c>
      <c r="N18" s="528">
        <v>59</v>
      </c>
      <c r="O18" s="528">
        <v>380</v>
      </c>
      <c r="P18" s="133">
        <f t="shared" si="19"/>
        <v>0.83421052631578951</v>
      </c>
      <c r="Q18" s="528">
        <v>234</v>
      </c>
      <c r="R18" s="528">
        <v>9</v>
      </c>
      <c r="S18" s="132">
        <v>8358147</v>
      </c>
      <c r="T18" s="24">
        <f t="shared" si="23"/>
        <v>8358147</v>
      </c>
      <c r="U18" s="132">
        <v>5039096</v>
      </c>
      <c r="V18" s="132">
        <v>3319051</v>
      </c>
      <c r="W18" s="135">
        <f t="shared" si="20"/>
        <v>0.39710368817394576</v>
      </c>
    </row>
    <row r="19" spans="1:23">
      <c r="A19" s="15">
        <v>2006</v>
      </c>
      <c r="B19" s="528">
        <v>23</v>
      </c>
      <c r="C19" s="528">
        <v>6.5</v>
      </c>
      <c r="D19" s="23">
        <f t="shared" si="24"/>
        <v>29.5</v>
      </c>
      <c r="E19" s="82">
        <f t="shared" si="21"/>
        <v>16</v>
      </c>
      <c r="F19" s="82">
        <f t="shared" si="22"/>
        <v>12</v>
      </c>
      <c r="G19" s="85"/>
      <c r="H19" s="85"/>
      <c r="I19" s="528">
        <v>218</v>
      </c>
      <c r="J19" s="528">
        <v>247</v>
      </c>
      <c r="K19" s="23">
        <f t="shared" si="25"/>
        <v>465</v>
      </c>
      <c r="L19" s="528">
        <v>82</v>
      </c>
      <c r="M19" s="82">
        <f t="shared" si="26"/>
        <v>300</v>
      </c>
      <c r="N19" s="528">
        <v>56</v>
      </c>
      <c r="O19" s="528">
        <v>365</v>
      </c>
      <c r="P19" s="133">
        <f t="shared" si="19"/>
        <v>0.82191780821917804</v>
      </c>
      <c r="Q19" s="528">
        <v>174</v>
      </c>
      <c r="R19" s="528">
        <v>6</v>
      </c>
      <c r="S19" s="132">
        <v>7845815</v>
      </c>
      <c r="T19" s="24">
        <f t="shared" si="23"/>
        <v>7845815</v>
      </c>
      <c r="U19" s="132">
        <v>4726973</v>
      </c>
      <c r="V19" s="132">
        <v>3118842</v>
      </c>
      <c r="W19" s="135">
        <f t="shared" si="20"/>
        <v>0.39751663785087976</v>
      </c>
    </row>
    <row r="20" spans="1:23">
      <c r="A20" s="15">
        <v>2005</v>
      </c>
      <c r="B20" s="528">
        <v>22</v>
      </c>
      <c r="C20" s="528">
        <v>7.5</v>
      </c>
      <c r="D20" s="23">
        <f t="shared" si="24"/>
        <v>29.5</v>
      </c>
      <c r="E20" s="82">
        <f t="shared" si="21"/>
        <v>21</v>
      </c>
      <c r="F20" s="82">
        <f t="shared" si="22"/>
        <v>16</v>
      </c>
      <c r="G20" s="85"/>
      <c r="H20" s="85"/>
      <c r="I20" s="528">
        <v>310</v>
      </c>
      <c r="J20" s="528">
        <v>121</v>
      </c>
      <c r="K20" s="23">
        <f t="shared" si="25"/>
        <v>431</v>
      </c>
      <c r="L20" s="528">
        <v>40</v>
      </c>
      <c r="M20" s="82">
        <f t="shared" si="26"/>
        <v>350</v>
      </c>
      <c r="N20" s="528">
        <v>54</v>
      </c>
      <c r="O20" s="528">
        <v>464</v>
      </c>
      <c r="P20" s="133">
        <f t="shared" si="19"/>
        <v>0.75431034482758619</v>
      </c>
      <c r="Q20" s="528">
        <v>192</v>
      </c>
      <c r="R20" s="528">
        <v>7</v>
      </c>
      <c r="S20" s="132">
        <v>7486029</v>
      </c>
      <c r="T20" s="24">
        <f t="shared" si="23"/>
        <v>7486029</v>
      </c>
      <c r="U20" s="132">
        <v>4760436</v>
      </c>
      <c r="V20" s="132">
        <v>2725593</v>
      </c>
      <c r="W20" s="135">
        <f t="shared" si="20"/>
        <v>0.36409062802187914</v>
      </c>
    </row>
    <row r="21" spans="1:23">
      <c r="A21" s="15">
        <v>2004</v>
      </c>
      <c r="B21" s="528">
        <v>20</v>
      </c>
      <c r="C21" s="528">
        <v>6</v>
      </c>
      <c r="D21" s="23">
        <f t="shared" si="24"/>
        <v>26</v>
      </c>
      <c r="E21" s="82">
        <f t="shared" si="21"/>
        <v>17</v>
      </c>
      <c r="F21" s="82">
        <f t="shared" si="22"/>
        <v>13</v>
      </c>
      <c r="G21" s="85"/>
      <c r="H21" s="85"/>
      <c r="I21" s="528">
        <v>131</v>
      </c>
      <c r="J21" s="528">
        <v>272</v>
      </c>
      <c r="K21" s="23">
        <f t="shared" si="25"/>
        <v>403</v>
      </c>
      <c r="L21" s="528">
        <v>155.24</v>
      </c>
      <c r="M21" s="82">
        <f t="shared" si="26"/>
        <v>286.24</v>
      </c>
      <c r="N21" s="528">
        <v>50</v>
      </c>
      <c r="O21" s="528">
        <v>332.75</v>
      </c>
      <c r="P21" s="133">
        <f t="shared" si="19"/>
        <v>0.86022539444027046</v>
      </c>
      <c r="Q21" s="528">
        <v>214</v>
      </c>
      <c r="R21" s="528">
        <v>3</v>
      </c>
      <c r="S21" s="132">
        <v>7155982</v>
      </c>
      <c r="T21" s="24">
        <f t="shared" si="23"/>
        <v>7155982</v>
      </c>
      <c r="U21" s="132">
        <v>4763725</v>
      </c>
      <c r="V21" s="132">
        <v>2392257</v>
      </c>
      <c r="W21" s="135">
        <f t="shared" si="20"/>
        <v>0.33430170729887249</v>
      </c>
    </row>
    <row r="22" spans="1:23">
      <c r="A22" s="15">
        <v>2003</v>
      </c>
      <c r="B22" s="528">
        <v>18</v>
      </c>
      <c r="C22" s="528">
        <v>8</v>
      </c>
      <c r="D22" s="23">
        <f t="shared" si="24"/>
        <v>26</v>
      </c>
      <c r="E22" s="82">
        <f t="shared" si="21"/>
        <v>24</v>
      </c>
      <c r="F22" s="82">
        <f t="shared" si="22"/>
        <v>16</v>
      </c>
      <c r="G22" s="85"/>
      <c r="H22" s="85"/>
      <c r="I22" s="528">
        <v>159</v>
      </c>
      <c r="J22" s="528">
        <v>293</v>
      </c>
      <c r="K22" s="23">
        <f t="shared" si="25"/>
        <v>452</v>
      </c>
      <c r="L22" s="528">
        <v>173</v>
      </c>
      <c r="M22" s="82">
        <f t="shared" si="26"/>
        <v>332</v>
      </c>
      <c r="N22" s="528">
        <v>63</v>
      </c>
      <c r="O22" s="528">
        <v>426</v>
      </c>
      <c r="P22" s="133">
        <f t="shared" si="19"/>
        <v>0.77934272300469487</v>
      </c>
      <c r="Q22" s="528">
        <v>217</v>
      </c>
      <c r="R22" s="528">
        <v>7</v>
      </c>
      <c r="S22" s="132">
        <v>7270481</v>
      </c>
      <c r="T22" s="24">
        <f t="shared" si="23"/>
        <v>7270481</v>
      </c>
      <c r="U22" s="132">
        <v>4199488</v>
      </c>
      <c r="V22" s="132">
        <v>3070993</v>
      </c>
      <c r="W22" s="135">
        <f t="shared" si="20"/>
        <v>0.42239199854865173</v>
      </c>
    </row>
    <row r="23" spans="1:23">
      <c r="A23" s="15">
        <v>2002</v>
      </c>
      <c r="B23" s="528">
        <v>18</v>
      </c>
      <c r="C23" s="528">
        <v>7.5</v>
      </c>
      <c r="D23" s="23">
        <f t="shared" si="24"/>
        <v>25.5</v>
      </c>
      <c r="E23" s="82">
        <f t="shared" si="21"/>
        <v>22</v>
      </c>
      <c r="F23" s="82">
        <f t="shared" si="22"/>
        <v>15</v>
      </c>
      <c r="G23" s="85"/>
      <c r="H23" s="85"/>
      <c r="I23" s="528">
        <v>209</v>
      </c>
      <c r="J23" s="528">
        <v>248</v>
      </c>
      <c r="K23" s="23">
        <f t="shared" si="25"/>
        <v>457</v>
      </c>
      <c r="L23" s="528">
        <f>ROUND(142.72, 0)</f>
        <v>143</v>
      </c>
      <c r="M23" s="82">
        <f t="shared" si="26"/>
        <v>352</v>
      </c>
      <c r="N23" s="528">
        <v>48</v>
      </c>
      <c r="O23" s="528">
        <f>ROUND(395.21, 0)</f>
        <v>395</v>
      </c>
      <c r="P23" s="133">
        <f t="shared" si="19"/>
        <v>0.89113924050632909</v>
      </c>
      <c r="Q23" s="528">
        <v>214</v>
      </c>
      <c r="R23" s="528">
        <v>4</v>
      </c>
      <c r="S23" s="132">
        <v>7052774</v>
      </c>
      <c r="T23" s="24">
        <f t="shared" si="23"/>
        <v>6053210</v>
      </c>
      <c r="U23" s="132">
        <v>2860644</v>
      </c>
      <c r="V23" s="132">
        <v>3192566</v>
      </c>
      <c r="W23" s="135">
        <f t="shared" si="20"/>
        <v>0.52741702336446283</v>
      </c>
    </row>
    <row r="24" spans="1:23">
      <c r="A24" s="576" t="s">
        <v>84</v>
      </c>
      <c r="B24" s="576"/>
      <c r="C24" s="576"/>
      <c r="D24" s="576"/>
      <c r="E24" s="576"/>
      <c r="F24" s="576"/>
      <c r="G24" s="576"/>
      <c r="H24" s="576"/>
      <c r="I24" s="576"/>
      <c r="J24" s="576"/>
      <c r="K24" s="576"/>
      <c r="L24" s="576"/>
      <c r="M24" s="576"/>
      <c r="N24" s="576"/>
      <c r="O24" s="576"/>
      <c r="P24" s="576"/>
      <c r="Q24" s="576"/>
      <c r="R24" s="576"/>
      <c r="S24" s="576"/>
      <c r="T24" s="576"/>
      <c r="U24" s="576"/>
      <c r="V24" s="576"/>
      <c r="W24" s="576"/>
    </row>
    <row r="25" spans="1:23">
      <c r="A25" s="576" t="s">
        <v>85</v>
      </c>
      <c r="B25" s="576"/>
      <c r="C25" s="576"/>
      <c r="D25" s="576"/>
      <c r="E25" s="576"/>
      <c r="F25" s="576"/>
      <c r="G25" s="576"/>
      <c r="H25" s="576"/>
      <c r="I25" s="576"/>
      <c r="J25" s="576"/>
      <c r="K25" s="576"/>
      <c r="L25" s="576"/>
      <c r="M25" s="576"/>
      <c r="N25" s="576"/>
      <c r="O25" s="576"/>
      <c r="P25" s="576"/>
      <c r="Q25" s="576"/>
      <c r="R25" s="576"/>
      <c r="S25" s="576"/>
      <c r="T25" s="576"/>
      <c r="U25" s="576"/>
      <c r="V25" s="576"/>
      <c r="W25" s="576"/>
    </row>
    <row r="26" spans="1:23" s="12" customFormat="1">
      <c r="A26" s="539" t="s">
        <v>86</v>
      </c>
      <c r="B26" s="538"/>
      <c r="C26" s="538"/>
      <c r="D26" s="538"/>
      <c r="E26" s="538"/>
      <c r="F26" s="538"/>
      <c r="G26" s="538"/>
      <c r="H26" s="538"/>
      <c r="I26" s="538"/>
      <c r="J26" s="538"/>
      <c r="K26" s="538"/>
      <c r="L26" s="538"/>
      <c r="M26" s="538"/>
      <c r="N26" s="538"/>
      <c r="O26" s="538"/>
      <c r="P26" s="538"/>
      <c r="Q26" s="538"/>
      <c r="R26" s="538"/>
      <c r="S26" s="538"/>
      <c r="T26" s="538"/>
      <c r="U26" s="538"/>
      <c r="V26" s="538"/>
      <c r="W26" s="538"/>
    </row>
    <row r="27" spans="1:23" s="12" customFormat="1">
      <c r="A27" s="539" t="s">
        <v>87</v>
      </c>
      <c r="B27" s="538"/>
      <c r="C27" s="538"/>
      <c r="D27" s="538"/>
      <c r="E27" s="538"/>
      <c r="F27" s="538"/>
      <c r="G27" s="538"/>
      <c r="H27" s="538"/>
      <c r="I27" s="538"/>
      <c r="J27" s="538"/>
      <c r="K27" s="538"/>
      <c r="L27" s="538"/>
      <c r="M27" s="538"/>
      <c r="N27" s="538"/>
      <c r="O27" s="538"/>
      <c r="P27" s="538"/>
      <c r="Q27" s="538"/>
      <c r="R27" s="538"/>
      <c r="S27" s="538"/>
      <c r="T27" s="538"/>
      <c r="U27" s="538"/>
      <c r="V27" s="538"/>
      <c r="W27" s="538"/>
    </row>
    <row r="28" spans="1:23" s="12" customFormat="1"/>
    <row r="29" spans="1:23" s="12" customFormat="1"/>
    <row r="30" spans="1:23" s="12" customFormat="1"/>
    <row r="31" spans="1:23" s="12" customFormat="1"/>
    <row r="32" spans="1:23" s="12" customFormat="1"/>
    <row r="33" s="12" customFormat="1"/>
    <row r="34" s="12" customFormat="1"/>
  </sheetData>
  <mergeCells count="4">
    <mergeCell ref="A24:W24"/>
    <mergeCell ref="A25:W25"/>
    <mergeCell ref="A26:W26"/>
    <mergeCell ref="A27:W27"/>
  </mergeCells>
  <printOptions headings="1" gridLines="1"/>
  <pageMargins left="0.5" right="0.5" top="0.5" bottom="0.5" header="0" footer="0"/>
  <pageSetup paperSize="5" scale="67" orientation="landscape"/>
  <legacy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L37"/>
  <sheetViews>
    <sheetView workbookViewId="0">
      <selection activeCell="G4" sqref="G4"/>
    </sheetView>
  </sheetViews>
  <sheetFormatPr defaultColWidth="8.85546875" defaultRowHeight="15"/>
  <cols>
    <col min="1" max="1" width="10.285156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3" width="13.140625" bestFit="1" customWidth="1"/>
    <col min="14" max="14" width="11.42578125"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2" width="13.85546875" bestFit="1" customWidth="1"/>
    <col min="23" max="23" width="12.85546875" bestFit="1" customWidth="1"/>
  </cols>
  <sheetData>
    <row r="1" spans="1:220" s="1" customFormat="1" ht="18.75">
      <c r="A1" s="1" t="s">
        <v>88</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9" customFormat="1">
      <c r="A3" s="105">
        <v>2022</v>
      </c>
      <c r="B3" s="54">
        <v>137</v>
      </c>
      <c r="C3" s="54">
        <v>17</v>
      </c>
      <c r="D3" s="19">
        <f t="shared" ref="D3" si="0">SUM(B3:C3)</f>
        <v>154</v>
      </c>
      <c r="E3" s="19">
        <f t="shared" ref="E3" si="1">ROUND((O3/B3), 0)</f>
        <v>16</v>
      </c>
      <c r="F3" s="14">
        <f t="shared" ref="F3" si="2">ROUND((O3/D3), 0)</f>
        <v>14</v>
      </c>
      <c r="G3" s="54">
        <v>14</v>
      </c>
      <c r="H3" s="54">
        <v>16</v>
      </c>
      <c r="I3" s="54">
        <v>88</v>
      </c>
      <c r="J3" s="54">
        <v>17</v>
      </c>
      <c r="K3" s="19">
        <f>SUM(I3:J3)</f>
        <v>105</v>
      </c>
      <c r="L3" s="54">
        <v>7.32</v>
      </c>
      <c r="M3" s="14">
        <f>(I3+L3)</f>
        <v>95.32</v>
      </c>
      <c r="N3" s="54">
        <v>21</v>
      </c>
      <c r="O3" s="54">
        <v>2217</v>
      </c>
      <c r="P3" s="385">
        <f>M3/O3</f>
        <v>4.2995038340099233E-2</v>
      </c>
      <c r="Q3" s="54">
        <v>49</v>
      </c>
      <c r="R3" s="54">
        <v>1035</v>
      </c>
      <c r="S3" s="61">
        <v>79812323</v>
      </c>
      <c r="T3" s="413">
        <f t="shared" ref="T3" si="3">SUM(U3:V3)</f>
        <v>79802323</v>
      </c>
      <c r="U3" s="61">
        <v>19715465</v>
      </c>
      <c r="V3" s="61">
        <v>60086858</v>
      </c>
      <c r="W3" s="385">
        <f>V3/T3</f>
        <v>0.75294622689116453</v>
      </c>
    </row>
    <row r="4" spans="1:220" s="80" customFormat="1">
      <c r="A4" s="105">
        <v>2021</v>
      </c>
      <c r="B4" s="66">
        <v>138.82</v>
      </c>
      <c r="C4" s="66">
        <v>15</v>
      </c>
      <c r="D4" s="23">
        <f>B4+C4</f>
        <v>153.82</v>
      </c>
      <c r="E4" s="82">
        <v>20</v>
      </c>
      <c r="F4" s="82">
        <v>18</v>
      </c>
      <c r="G4" s="66">
        <v>12</v>
      </c>
      <c r="H4" s="66">
        <v>15</v>
      </c>
      <c r="I4" s="66">
        <v>85</v>
      </c>
      <c r="J4" s="66">
        <v>21</v>
      </c>
      <c r="K4" s="23">
        <v>106</v>
      </c>
      <c r="L4" s="66">
        <v>12.33</v>
      </c>
      <c r="M4" s="82">
        <v>99</v>
      </c>
      <c r="N4" s="66">
        <v>24</v>
      </c>
      <c r="O4" s="66">
        <v>3308.72</v>
      </c>
      <c r="P4" s="133">
        <f>M4/O4</f>
        <v>2.992093619284799E-2</v>
      </c>
      <c r="Q4" s="66">
        <v>55</v>
      </c>
      <c r="R4" s="66">
        <v>1045</v>
      </c>
      <c r="S4" s="352">
        <v>79793580</v>
      </c>
      <c r="T4" s="24">
        <v>79793580</v>
      </c>
      <c r="U4" s="426">
        <v>17925555</v>
      </c>
      <c r="V4" s="426">
        <v>61868025</v>
      </c>
      <c r="W4" s="135">
        <f>V4/T4</f>
        <v>0.77535091168988779</v>
      </c>
    </row>
    <row r="5" spans="1:220" s="80" customFormat="1">
      <c r="A5" s="105">
        <v>2020</v>
      </c>
      <c r="B5" s="66">
        <v>130</v>
      </c>
      <c r="C5" s="66">
        <v>15</v>
      </c>
      <c r="D5" s="23">
        <f>SUM(B5:C5)</f>
        <v>145</v>
      </c>
      <c r="E5" s="82">
        <f>ROUND((O5/B5), 0)</f>
        <v>20</v>
      </c>
      <c r="F5" s="82">
        <f>ROUND((O5/D5), 0)</f>
        <v>18</v>
      </c>
      <c r="G5" s="66">
        <v>12</v>
      </c>
      <c r="H5" s="66">
        <v>15</v>
      </c>
      <c r="I5" s="66">
        <v>85</v>
      </c>
      <c r="J5" s="66">
        <v>21</v>
      </c>
      <c r="K5" s="23">
        <f t="shared" ref="K5" si="4">SUM(I5:J5)</f>
        <v>106</v>
      </c>
      <c r="L5" s="66">
        <v>13.53</v>
      </c>
      <c r="M5" s="82">
        <f>(I5+L5)</f>
        <v>98.53</v>
      </c>
      <c r="N5" s="66">
        <v>14</v>
      </c>
      <c r="O5" s="66">
        <v>2550.5</v>
      </c>
      <c r="P5" s="133">
        <f t="shared" ref="P5" si="5">M5/O5</f>
        <v>3.8631640854734368E-2</v>
      </c>
      <c r="Q5" s="66">
        <v>55</v>
      </c>
      <c r="R5" s="66">
        <v>1033</v>
      </c>
      <c r="S5" s="352">
        <v>79793580</v>
      </c>
      <c r="T5" s="24">
        <f>SUM(U5:V5)</f>
        <v>79793580</v>
      </c>
      <c r="U5" s="425">
        <v>79793580</v>
      </c>
      <c r="V5" s="425">
        <v>0</v>
      </c>
      <c r="W5" s="135">
        <f t="shared" ref="W5" si="6">V5/T5</f>
        <v>0</v>
      </c>
    </row>
    <row r="6" spans="1:220">
      <c r="A6" s="10">
        <v>2019</v>
      </c>
      <c r="B6" s="17">
        <v>146</v>
      </c>
      <c r="C6" s="17">
        <v>14</v>
      </c>
      <c r="D6" s="23">
        <f>SUM(B6:C6)</f>
        <v>160</v>
      </c>
      <c r="E6" s="82">
        <f>ROUND((O6/B6), 0)</f>
        <v>19</v>
      </c>
      <c r="F6" s="82">
        <f>ROUND((O6/D6), 0)</f>
        <v>17</v>
      </c>
      <c r="G6" s="17">
        <v>14</v>
      </c>
      <c r="H6" s="17">
        <v>13</v>
      </c>
      <c r="I6" s="17">
        <v>77</v>
      </c>
      <c r="J6" s="17">
        <v>27</v>
      </c>
      <c r="K6" s="23">
        <f t="shared" ref="K6" si="7">SUM(I6:J6)</f>
        <v>104</v>
      </c>
      <c r="L6" s="17">
        <v>16.18</v>
      </c>
      <c r="M6" s="82">
        <f>(I6+L6)</f>
        <v>93.18</v>
      </c>
      <c r="N6" s="17">
        <v>11</v>
      </c>
      <c r="O6" s="17">
        <v>2736.58</v>
      </c>
      <c r="P6" s="133">
        <f t="shared" ref="P6" si="8">M6/O6</f>
        <v>3.4049799384633379E-2</v>
      </c>
      <c r="Q6" s="17">
        <v>70</v>
      </c>
      <c r="R6" s="17">
        <v>1021</v>
      </c>
      <c r="S6" s="308">
        <v>70507760</v>
      </c>
      <c r="T6" s="24">
        <f>SUM(U6:V6)</f>
        <v>70690535</v>
      </c>
      <c r="U6" s="427">
        <v>15076151</v>
      </c>
      <c r="V6" s="427">
        <v>55614384</v>
      </c>
      <c r="W6" s="135">
        <f t="shared" ref="W6" si="9">V6/T6</f>
        <v>0.78673027442782828</v>
      </c>
    </row>
    <row r="7" spans="1:220" s="14" customFormat="1">
      <c r="A7" s="10">
        <v>2018</v>
      </c>
      <c r="B7" s="17">
        <v>141</v>
      </c>
      <c r="C7" s="17">
        <v>13</v>
      </c>
      <c r="D7" s="23">
        <f>SUM(B7:C7)</f>
        <v>154</v>
      </c>
      <c r="E7" s="82">
        <f>ROUND((O7/B7), 0)</f>
        <v>20</v>
      </c>
      <c r="F7" s="82">
        <f>ROUND((O7/D7), 0)</f>
        <v>18</v>
      </c>
      <c r="G7" s="17">
        <v>13</v>
      </c>
      <c r="H7" s="17">
        <v>12</v>
      </c>
      <c r="I7" s="17">
        <v>90</v>
      </c>
      <c r="J7" s="17">
        <v>25</v>
      </c>
      <c r="K7" s="23">
        <f>SUM(I7:J7)</f>
        <v>115</v>
      </c>
      <c r="L7" s="17">
        <v>15.79</v>
      </c>
      <c r="M7" s="82">
        <f>(I7+L7)</f>
        <v>105.78999999999999</v>
      </c>
      <c r="N7" s="17">
        <v>9</v>
      </c>
      <c r="O7" s="17">
        <v>2779.63</v>
      </c>
      <c r="P7" s="133">
        <f>M7/O7</f>
        <v>3.8059022243967719E-2</v>
      </c>
      <c r="Q7" s="17">
        <v>87</v>
      </c>
      <c r="R7" s="17">
        <v>1080</v>
      </c>
      <c r="S7" s="20">
        <v>73747130</v>
      </c>
      <c r="T7" s="24">
        <f>SUM(U7:V7)</f>
        <v>75894975</v>
      </c>
      <c r="U7" s="20">
        <v>19774818</v>
      </c>
      <c r="V7" s="20">
        <v>56120157</v>
      </c>
      <c r="W7" s="135">
        <f>V7/T7</f>
        <v>0.73944496325349607</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137</v>
      </c>
      <c r="C8" s="17">
        <v>19</v>
      </c>
      <c r="D8" s="27">
        <f>SUM(B8:C8)</f>
        <v>156</v>
      </c>
      <c r="E8" s="27">
        <f>ROUND((O8/B8), 0)</f>
        <v>21</v>
      </c>
      <c r="F8" s="27">
        <f>ROUND((O8/D8), 0)</f>
        <v>18</v>
      </c>
      <c r="G8" s="17">
        <v>11</v>
      </c>
      <c r="H8" s="17">
        <v>17</v>
      </c>
      <c r="I8" s="17">
        <v>120</v>
      </c>
      <c r="J8" s="17">
        <v>28</v>
      </c>
      <c r="K8" s="27">
        <f>SUM(I8:J8)</f>
        <v>148</v>
      </c>
      <c r="L8" s="17">
        <v>17.18</v>
      </c>
      <c r="M8" s="29">
        <f>(I8+L8)</f>
        <v>137.18</v>
      </c>
      <c r="N8" s="255">
        <v>14</v>
      </c>
      <c r="O8" s="255">
        <v>2870.16</v>
      </c>
      <c r="P8" s="133">
        <f t="shared" ref="P8:P23" si="10">M8/O8</f>
        <v>4.7795244864397811E-2</v>
      </c>
      <c r="Q8" s="17">
        <v>85</v>
      </c>
      <c r="R8" s="17">
        <v>933</v>
      </c>
      <c r="S8" s="223">
        <v>77674938</v>
      </c>
      <c r="T8" s="28">
        <f>SUM(U8:V8)</f>
        <v>77674938</v>
      </c>
      <c r="U8" s="252">
        <v>20612047</v>
      </c>
      <c r="V8" s="20">
        <v>57062891</v>
      </c>
      <c r="W8" s="135">
        <f t="shared" ref="W8:W23" si="11">V8/T8</f>
        <v>0.73463709748954031</v>
      </c>
    </row>
    <row r="9" spans="1:220" s="9" customFormat="1">
      <c r="A9" s="10">
        <v>2016</v>
      </c>
      <c r="B9" s="54">
        <v>185</v>
      </c>
      <c r="C9" s="54">
        <v>18.260000000000002</v>
      </c>
      <c r="D9" s="119">
        <f>B9+C9</f>
        <v>203.26</v>
      </c>
      <c r="E9" s="120">
        <f>O9/B9</f>
        <v>19.380918918918919</v>
      </c>
      <c r="F9" s="120">
        <f>O9/D9</f>
        <v>17.639820919019975</v>
      </c>
      <c r="G9" s="66">
        <v>23</v>
      </c>
      <c r="H9" s="66">
        <v>16.5</v>
      </c>
      <c r="I9" s="54">
        <v>165</v>
      </c>
      <c r="J9" s="54">
        <v>239</v>
      </c>
      <c r="K9" s="23">
        <f>SUM(I9:J9)</f>
        <v>404</v>
      </c>
      <c r="L9" s="54">
        <v>123.79</v>
      </c>
      <c r="M9" s="82">
        <f>(I9+L9)</f>
        <v>288.79000000000002</v>
      </c>
      <c r="N9" s="54">
        <v>48</v>
      </c>
      <c r="O9" s="54">
        <v>3585.47</v>
      </c>
      <c r="P9" s="133">
        <f t="shared" si="10"/>
        <v>8.0544531121442942E-2</v>
      </c>
      <c r="Q9" s="54">
        <v>128</v>
      </c>
      <c r="R9" s="54">
        <v>837</v>
      </c>
      <c r="S9" s="61">
        <v>82195720</v>
      </c>
      <c r="T9" s="170">
        <f>U9+V9</f>
        <v>84913527</v>
      </c>
      <c r="U9" s="61">
        <v>18336926</v>
      </c>
      <c r="V9" s="61">
        <v>66576601</v>
      </c>
      <c r="W9" s="135">
        <f t="shared" si="11"/>
        <v>0.78405176833603907</v>
      </c>
    </row>
    <row r="10" spans="1:220" s="77" customFormat="1">
      <c r="A10" s="10">
        <v>2015</v>
      </c>
      <c r="B10" s="54">
        <v>19</v>
      </c>
      <c r="C10" s="54">
        <v>14.57</v>
      </c>
      <c r="D10" s="19">
        <f>SUM(B10:C10)</f>
        <v>33.57</v>
      </c>
      <c r="E10" s="121">
        <f>O10/B10</f>
        <v>162.44157894736841</v>
      </c>
      <c r="F10" s="121">
        <f>O10/D10</f>
        <v>91.938933571641343</v>
      </c>
      <c r="G10" s="171"/>
      <c r="H10" s="171"/>
      <c r="I10" s="54">
        <v>166</v>
      </c>
      <c r="J10" s="54">
        <v>200</v>
      </c>
      <c r="K10" s="19">
        <v>366</v>
      </c>
      <c r="L10" s="54">
        <v>130.5</v>
      </c>
      <c r="M10" s="19">
        <v>296.5</v>
      </c>
      <c r="N10" s="54">
        <v>36</v>
      </c>
      <c r="O10" s="54">
        <v>3086.39</v>
      </c>
      <c r="P10" s="133">
        <f t="shared" si="10"/>
        <v>9.6066926085167467E-2</v>
      </c>
      <c r="Q10" s="54">
        <v>144</v>
      </c>
      <c r="R10" s="54">
        <v>781</v>
      </c>
      <c r="S10" s="78">
        <v>67794692</v>
      </c>
      <c r="T10" s="79">
        <f>U10+V10</f>
        <v>70350916</v>
      </c>
      <c r="U10" s="78">
        <v>17872877</v>
      </c>
      <c r="V10" s="78">
        <v>52478039</v>
      </c>
      <c r="W10" s="135">
        <f t="shared" si="11"/>
        <v>0.74594677630068096</v>
      </c>
    </row>
    <row r="11" spans="1:220">
      <c r="A11" s="15">
        <v>2014</v>
      </c>
      <c r="B11" s="528">
        <v>20</v>
      </c>
      <c r="C11" s="528">
        <f>4.62+11.88</f>
        <v>16.5</v>
      </c>
      <c r="D11" s="119">
        <f>B11+C11</f>
        <v>36.5</v>
      </c>
      <c r="E11" s="120">
        <f>O11/B11</f>
        <v>139.84899999999999</v>
      </c>
      <c r="F11" s="120">
        <f>O11/D11</f>
        <v>76.629589041095898</v>
      </c>
      <c r="G11" s="171"/>
      <c r="H11" s="171"/>
      <c r="I11" s="122">
        <v>160</v>
      </c>
      <c r="J11" s="122">
        <v>180</v>
      </c>
      <c r="K11" s="119">
        <v>340</v>
      </c>
      <c r="L11" s="122">
        <v>113.49</v>
      </c>
      <c r="M11" s="119">
        <v>273.49</v>
      </c>
      <c r="N11" s="122">
        <v>27</v>
      </c>
      <c r="O11" s="122">
        <v>2796.98</v>
      </c>
      <c r="P11" s="133">
        <f t="shared" si="10"/>
        <v>9.7780463213894983E-2</v>
      </c>
      <c r="Q11" s="122">
        <v>168</v>
      </c>
      <c r="R11" s="122">
        <v>643</v>
      </c>
      <c r="S11" s="172">
        <v>65083844</v>
      </c>
      <c r="T11" s="170">
        <f>U11+V11</f>
        <v>68021568</v>
      </c>
      <c r="U11" s="172">
        <v>18135716</v>
      </c>
      <c r="V11" s="172">
        <v>49885852</v>
      </c>
      <c r="W11" s="135">
        <f t="shared" si="11"/>
        <v>0.73338285880149068</v>
      </c>
    </row>
    <row r="12" spans="1:220">
      <c r="A12" s="15">
        <v>2013</v>
      </c>
      <c r="B12" s="528">
        <v>22</v>
      </c>
      <c r="C12" s="528">
        <v>7.2</v>
      </c>
      <c r="D12" s="23">
        <f>B12+C12</f>
        <v>29.2</v>
      </c>
      <c r="E12" s="82">
        <f t="shared" ref="E12:E17" si="12">ROUND((O12/B12), 0)</f>
        <v>13</v>
      </c>
      <c r="F12" s="82">
        <f t="shared" ref="F12:F23" si="13">ROUND((O12/D12), 0)</f>
        <v>10</v>
      </c>
      <c r="G12" s="85"/>
      <c r="H12" s="85"/>
      <c r="I12" s="528">
        <v>168</v>
      </c>
      <c r="J12" s="528">
        <v>180</v>
      </c>
      <c r="K12" s="23">
        <f>I12+J12</f>
        <v>348</v>
      </c>
      <c r="L12" s="528">
        <v>116.3</v>
      </c>
      <c r="M12" s="82">
        <f>I12+L12</f>
        <v>284.3</v>
      </c>
      <c r="N12" s="528">
        <v>23</v>
      </c>
      <c r="O12" s="528">
        <v>283.77999999999997</v>
      </c>
      <c r="P12" s="133">
        <f t="shared" si="10"/>
        <v>1.001832405384453</v>
      </c>
      <c r="Q12" s="528">
        <v>188</v>
      </c>
      <c r="R12" s="528">
        <v>554</v>
      </c>
      <c r="S12" s="84">
        <v>34243232</v>
      </c>
      <c r="T12" s="24">
        <f t="shared" ref="T12:T23" si="14">SUM(U12:V12)</f>
        <v>53795759</v>
      </c>
      <c r="U12" s="84">
        <v>35856413</v>
      </c>
      <c r="V12" s="84">
        <v>17939346</v>
      </c>
      <c r="W12" s="135">
        <f t="shared" si="11"/>
        <v>0.33347138015098921</v>
      </c>
    </row>
    <row r="13" spans="1:220">
      <c r="A13" s="15">
        <v>2012</v>
      </c>
      <c r="B13" s="528">
        <v>26</v>
      </c>
      <c r="C13" s="528">
        <v>23</v>
      </c>
      <c r="D13" s="23">
        <f>B13+C13</f>
        <v>49</v>
      </c>
      <c r="E13" s="82">
        <f t="shared" si="12"/>
        <v>10</v>
      </c>
      <c r="F13" s="82">
        <f t="shared" si="13"/>
        <v>6</v>
      </c>
      <c r="G13" s="85"/>
      <c r="H13" s="85"/>
      <c r="I13" s="528">
        <v>210</v>
      </c>
      <c r="J13" s="528">
        <v>57</v>
      </c>
      <c r="K13" s="23">
        <f>I13+J13</f>
        <v>267</v>
      </c>
      <c r="L13" s="528">
        <v>36</v>
      </c>
      <c r="M13" s="82">
        <f>I13+L13</f>
        <v>246</v>
      </c>
      <c r="N13" s="528">
        <v>21</v>
      </c>
      <c r="O13" s="528">
        <v>272</v>
      </c>
      <c r="P13" s="133">
        <f t="shared" si="10"/>
        <v>0.90441176470588236</v>
      </c>
      <c r="Q13" s="528">
        <v>268</v>
      </c>
      <c r="R13" s="528">
        <v>7</v>
      </c>
      <c r="S13" s="84">
        <v>8627310</v>
      </c>
      <c r="T13" s="24">
        <f t="shared" si="14"/>
        <v>8010752</v>
      </c>
      <c r="U13" s="84">
        <v>6892252</v>
      </c>
      <c r="V13" s="84">
        <v>1118500</v>
      </c>
      <c r="W13" s="135">
        <f t="shared" si="11"/>
        <v>0.13962484420938259</v>
      </c>
    </row>
    <row r="14" spans="1:220">
      <c r="A14" s="15" t="s">
        <v>26</v>
      </c>
      <c r="B14" s="528">
        <v>26</v>
      </c>
      <c r="C14" s="528">
        <v>23.75</v>
      </c>
      <c r="D14" s="23">
        <f>SUM(B14:C14)</f>
        <v>49.75</v>
      </c>
      <c r="E14" s="82">
        <f t="shared" si="12"/>
        <v>18</v>
      </c>
      <c r="F14" s="82">
        <f t="shared" si="13"/>
        <v>9</v>
      </c>
      <c r="G14" s="85"/>
      <c r="H14" s="85"/>
      <c r="I14" s="528">
        <v>289</v>
      </c>
      <c r="J14" s="528">
        <v>237</v>
      </c>
      <c r="K14" s="23">
        <f>SUM(I14:J14)</f>
        <v>526</v>
      </c>
      <c r="L14" s="528">
        <v>146.87</v>
      </c>
      <c r="M14" s="82">
        <f>(I14+L14)</f>
        <v>435.87</v>
      </c>
      <c r="N14" s="528">
        <v>42</v>
      </c>
      <c r="O14" s="528">
        <v>464.51</v>
      </c>
      <c r="P14" s="133">
        <f t="shared" si="10"/>
        <v>0.93834363092290807</v>
      </c>
      <c r="Q14" s="528">
        <v>272</v>
      </c>
      <c r="R14" s="528">
        <v>7</v>
      </c>
      <c r="S14" s="84">
        <v>11927727</v>
      </c>
      <c r="T14" s="24">
        <f t="shared" si="14"/>
        <v>11929164</v>
      </c>
      <c r="U14" s="84">
        <v>10746875</v>
      </c>
      <c r="V14" s="84">
        <v>1182289</v>
      </c>
      <c r="W14" s="135">
        <f t="shared" si="11"/>
        <v>9.910912449522867E-2</v>
      </c>
    </row>
    <row r="15" spans="1:220">
      <c r="A15" s="15" t="s">
        <v>27</v>
      </c>
      <c r="B15" s="528">
        <v>25</v>
      </c>
      <c r="C15" s="528">
        <v>25.5</v>
      </c>
      <c r="D15" s="23">
        <f>SUM(B15:C15)</f>
        <v>50.5</v>
      </c>
      <c r="E15" s="82">
        <f t="shared" si="12"/>
        <v>21</v>
      </c>
      <c r="F15" s="82">
        <f t="shared" si="13"/>
        <v>11</v>
      </c>
      <c r="G15" s="85"/>
      <c r="H15" s="85"/>
      <c r="I15" s="528">
        <v>326</v>
      </c>
      <c r="J15" s="528">
        <v>282</v>
      </c>
      <c r="K15" s="23">
        <f>SUM(I15:J15)</f>
        <v>608</v>
      </c>
      <c r="L15" s="528">
        <v>171.76</v>
      </c>
      <c r="M15" s="82">
        <f>(I15+L15)</f>
        <v>497.76</v>
      </c>
      <c r="N15" s="528">
        <v>66</v>
      </c>
      <c r="O15" s="528">
        <v>531.44000000000005</v>
      </c>
      <c r="P15" s="133">
        <f t="shared" si="10"/>
        <v>0.93662501881679949</v>
      </c>
      <c r="Q15" s="528">
        <v>261</v>
      </c>
      <c r="R15" s="528">
        <v>3</v>
      </c>
      <c r="S15" s="84">
        <v>9551222</v>
      </c>
      <c r="T15" s="24">
        <f t="shared" si="14"/>
        <v>9592458</v>
      </c>
      <c r="U15" s="84">
        <v>8916133</v>
      </c>
      <c r="V15" s="84">
        <v>676325</v>
      </c>
      <c r="W15" s="135">
        <f t="shared" si="11"/>
        <v>7.0505912040480137E-2</v>
      </c>
    </row>
    <row r="16" spans="1:220">
      <c r="A16" s="15" t="s">
        <v>28</v>
      </c>
      <c r="B16" s="528">
        <v>24.5</v>
      </c>
      <c r="C16" s="528">
        <v>13</v>
      </c>
      <c r="D16" s="23">
        <f>SUM(B16:C16)</f>
        <v>37.5</v>
      </c>
      <c r="E16" s="82">
        <f t="shared" si="12"/>
        <v>22</v>
      </c>
      <c r="F16" s="82">
        <f t="shared" si="13"/>
        <v>14</v>
      </c>
      <c r="G16" s="85"/>
      <c r="H16" s="85"/>
      <c r="I16" s="528">
        <v>307</v>
      </c>
      <c r="J16" s="528">
        <v>315</v>
      </c>
      <c r="K16" s="23">
        <f>SUM(I16:J16)</f>
        <v>622</v>
      </c>
      <c r="L16" s="528">
        <v>190.32</v>
      </c>
      <c r="M16" s="82">
        <f>(I16+L16)</f>
        <v>497.32</v>
      </c>
      <c r="N16" s="528">
        <v>52</v>
      </c>
      <c r="O16" s="528">
        <v>529.83000000000004</v>
      </c>
      <c r="P16" s="133">
        <f t="shared" si="10"/>
        <v>0.93864069607232503</v>
      </c>
      <c r="Q16" s="528">
        <v>278</v>
      </c>
      <c r="R16" s="528">
        <v>1</v>
      </c>
      <c r="S16" s="84">
        <v>9399485</v>
      </c>
      <c r="T16" s="24">
        <f t="shared" si="14"/>
        <v>9403353</v>
      </c>
      <c r="U16" s="84">
        <v>8472109</v>
      </c>
      <c r="V16" s="84">
        <v>931244</v>
      </c>
      <c r="W16" s="135">
        <f t="shared" si="11"/>
        <v>9.9033185290395884E-2</v>
      </c>
    </row>
    <row r="17" spans="1:23">
      <c r="A17" s="15" t="s">
        <v>29</v>
      </c>
      <c r="B17" s="528">
        <v>23.5</v>
      </c>
      <c r="C17" s="528">
        <v>12</v>
      </c>
      <c r="D17" s="23">
        <f>SUM(B17:C17)</f>
        <v>35.5</v>
      </c>
      <c r="E17" s="82">
        <f t="shared" si="12"/>
        <v>21</v>
      </c>
      <c r="F17" s="82">
        <f t="shared" si="13"/>
        <v>14</v>
      </c>
      <c r="G17" s="85"/>
      <c r="H17" s="85"/>
      <c r="I17" s="528">
        <v>293</v>
      </c>
      <c r="J17" s="528">
        <v>318</v>
      </c>
      <c r="K17" s="23">
        <f>SUM(I17:J17)</f>
        <v>611</v>
      </c>
      <c r="L17" s="528">
        <v>174.41</v>
      </c>
      <c r="M17" s="82">
        <f>(I17+L17)</f>
        <v>467.40999999999997</v>
      </c>
      <c r="N17" s="528">
        <v>42</v>
      </c>
      <c r="O17" s="528">
        <v>499.58</v>
      </c>
      <c r="P17" s="133">
        <f t="shared" si="10"/>
        <v>0.93560590896352935</v>
      </c>
      <c r="Q17" s="528">
        <v>237</v>
      </c>
      <c r="R17" s="528">
        <v>5</v>
      </c>
      <c r="S17" s="84">
        <v>8811802</v>
      </c>
      <c r="T17" s="24">
        <f t="shared" si="14"/>
        <v>8836740</v>
      </c>
      <c r="U17" s="84">
        <v>7758772</v>
      </c>
      <c r="V17" s="84">
        <v>1077968</v>
      </c>
      <c r="W17" s="135">
        <f t="shared" si="11"/>
        <v>0.12198706762901251</v>
      </c>
    </row>
    <row r="18" spans="1:23">
      <c r="A18" s="15">
        <v>2007</v>
      </c>
      <c r="B18" s="528">
        <v>22.5</v>
      </c>
      <c r="C18" s="528">
        <v>12.6</v>
      </c>
      <c r="D18" s="23">
        <f>SUM(B18:C18)</f>
        <v>35.1</v>
      </c>
      <c r="E18" s="82">
        <f>ROUND((O18/B18),0)</f>
        <v>21</v>
      </c>
      <c r="F18" s="82">
        <f t="shared" si="13"/>
        <v>14</v>
      </c>
      <c r="G18" s="85"/>
      <c r="H18" s="85"/>
      <c r="I18" s="528">
        <v>264</v>
      </c>
      <c r="J18" s="528">
        <v>325</v>
      </c>
      <c r="K18" s="82">
        <f>SUM(I18:J18)</f>
        <v>589</v>
      </c>
      <c r="L18" s="528">
        <v>185.61</v>
      </c>
      <c r="M18" s="82">
        <f>(I18+L18)</f>
        <v>449.61</v>
      </c>
      <c r="N18" s="528">
        <v>48</v>
      </c>
      <c r="O18" s="528">
        <v>478.9</v>
      </c>
      <c r="P18" s="133">
        <f t="shared" si="10"/>
        <v>0.93883900605554405</v>
      </c>
      <c r="Q18" s="528">
        <v>253</v>
      </c>
      <c r="R18" s="528">
        <v>6</v>
      </c>
      <c r="S18" s="132">
        <v>8236459</v>
      </c>
      <c r="T18" s="24">
        <f t="shared" si="14"/>
        <v>8551837</v>
      </c>
      <c r="U18" s="132">
        <v>7124924</v>
      </c>
      <c r="V18" s="132">
        <v>1426913</v>
      </c>
      <c r="W18" s="135">
        <f t="shared" si="11"/>
        <v>0.1668545600202623</v>
      </c>
    </row>
    <row r="19" spans="1:23">
      <c r="A19" s="15">
        <v>2006</v>
      </c>
      <c r="B19" s="528">
        <v>23</v>
      </c>
      <c r="C19" s="528">
        <v>11</v>
      </c>
      <c r="D19" s="23">
        <v>34</v>
      </c>
      <c r="E19" s="82">
        <f>ROUND((O19/B19),0)</f>
        <v>21</v>
      </c>
      <c r="F19" s="82">
        <f t="shared" si="13"/>
        <v>14</v>
      </c>
      <c r="G19" s="85"/>
      <c r="H19" s="85"/>
      <c r="I19" s="528">
        <v>260</v>
      </c>
      <c r="J19" s="528">
        <v>325</v>
      </c>
      <c r="K19" s="82">
        <v>585</v>
      </c>
      <c r="L19" s="528">
        <v>193</v>
      </c>
      <c r="M19" s="82">
        <v>453</v>
      </c>
      <c r="N19" s="528">
        <v>47</v>
      </c>
      <c r="O19" s="528">
        <v>486</v>
      </c>
      <c r="P19" s="133">
        <f t="shared" si="10"/>
        <v>0.9320987654320988</v>
      </c>
      <c r="Q19" s="528">
        <v>260</v>
      </c>
      <c r="R19" s="528">
        <v>5</v>
      </c>
      <c r="S19" s="132">
        <v>8849572</v>
      </c>
      <c r="T19" s="24">
        <f t="shared" si="14"/>
        <v>8856553</v>
      </c>
      <c r="U19" s="132">
        <v>7134353</v>
      </c>
      <c r="V19" s="132">
        <v>1722200</v>
      </c>
      <c r="W19" s="135">
        <f t="shared" si="11"/>
        <v>0.1944548855519749</v>
      </c>
    </row>
    <row r="20" spans="1:23">
      <c r="A20" s="15">
        <v>2005</v>
      </c>
      <c r="B20" s="528">
        <v>23</v>
      </c>
      <c r="C20" s="528">
        <v>10</v>
      </c>
      <c r="D20" s="23">
        <f>SUM(B20:C20)</f>
        <v>33</v>
      </c>
      <c r="E20" s="82">
        <f>ROUND((O20/B20),0)</f>
        <v>22</v>
      </c>
      <c r="F20" s="82">
        <f t="shared" si="13"/>
        <v>15</v>
      </c>
      <c r="G20" s="85"/>
      <c r="H20" s="85"/>
      <c r="I20" s="528">
        <v>253</v>
      </c>
      <c r="J20" s="528">
        <v>284</v>
      </c>
      <c r="K20" s="82">
        <f>SUM(I20:J20)</f>
        <v>537</v>
      </c>
      <c r="L20" s="528">
        <v>163</v>
      </c>
      <c r="M20" s="82">
        <f>(I20+L20)</f>
        <v>416</v>
      </c>
      <c r="N20" s="528">
        <v>26</v>
      </c>
      <c r="O20" s="528">
        <v>507</v>
      </c>
      <c r="P20" s="133">
        <f t="shared" si="10"/>
        <v>0.82051282051282048</v>
      </c>
      <c r="Q20" s="528">
        <v>189</v>
      </c>
      <c r="R20" s="528">
        <v>27</v>
      </c>
      <c r="S20" s="132">
        <v>7932014</v>
      </c>
      <c r="T20" s="24">
        <f t="shared" si="14"/>
        <v>7932446</v>
      </c>
      <c r="U20" s="132">
        <v>7218863</v>
      </c>
      <c r="V20" s="132">
        <v>713583</v>
      </c>
      <c r="W20" s="135">
        <f t="shared" si="11"/>
        <v>8.995749860761737E-2</v>
      </c>
    </row>
    <row r="21" spans="1:23">
      <c r="A21" s="15">
        <v>2004</v>
      </c>
      <c r="B21" s="528">
        <v>26</v>
      </c>
      <c r="C21" s="528">
        <v>13</v>
      </c>
      <c r="D21" s="23">
        <f>SUM(B21:C21)</f>
        <v>39</v>
      </c>
      <c r="E21" s="82">
        <f>ROUND((O21/B21),0)</f>
        <v>19</v>
      </c>
      <c r="F21" s="82">
        <f t="shared" si="13"/>
        <v>12</v>
      </c>
      <c r="G21" s="85"/>
      <c r="H21" s="85"/>
      <c r="I21" s="528">
        <v>210</v>
      </c>
      <c r="J21" s="528">
        <v>306</v>
      </c>
      <c r="K21" s="82">
        <f>SUM(I21:J21)</f>
        <v>516</v>
      </c>
      <c r="L21" s="528">
        <v>169</v>
      </c>
      <c r="M21" s="82">
        <f>(I21+L21)</f>
        <v>379</v>
      </c>
      <c r="N21" s="528">
        <v>56</v>
      </c>
      <c r="O21" s="528">
        <v>486</v>
      </c>
      <c r="P21" s="133">
        <f t="shared" si="10"/>
        <v>0.77983539094650201</v>
      </c>
      <c r="Q21" s="528">
        <v>206</v>
      </c>
      <c r="R21" s="528">
        <v>52</v>
      </c>
      <c r="S21" s="132">
        <v>7969702</v>
      </c>
      <c r="T21" s="24">
        <f t="shared" si="14"/>
        <v>7972377</v>
      </c>
      <c r="U21" s="132">
        <v>7201407</v>
      </c>
      <c r="V21" s="132">
        <v>770970</v>
      </c>
      <c r="W21" s="135">
        <f t="shared" si="11"/>
        <v>9.6705160832208509E-2</v>
      </c>
    </row>
    <row r="22" spans="1:23">
      <c r="A22" s="15">
        <v>2003</v>
      </c>
      <c r="B22" s="528">
        <v>23</v>
      </c>
      <c r="C22" s="528">
        <v>3</v>
      </c>
      <c r="D22" s="23">
        <f>SUM(B22:C22)</f>
        <v>26</v>
      </c>
      <c r="E22" s="82">
        <f>ROUND((O22/B22), 0)</f>
        <v>22</v>
      </c>
      <c r="F22" s="82">
        <f t="shared" si="13"/>
        <v>19</v>
      </c>
      <c r="G22" s="85"/>
      <c r="H22" s="85"/>
      <c r="I22" s="528">
        <v>269</v>
      </c>
      <c r="J22" s="528">
        <v>342</v>
      </c>
      <c r="K22" s="23">
        <v>611</v>
      </c>
      <c r="L22" s="528">
        <v>190</v>
      </c>
      <c r="M22" s="82">
        <f>(I22+L22)</f>
        <v>459</v>
      </c>
      <c r="N22" s="528">
        <v>35</v>
      </c>
      <c r="O22" s="528">
        <v>496</v>
      </c>
      <c r="P22" s="133">
        <f t="shared" si="10"/>
        <v>0.92540322580645162</v>
      </c>
      <c r="Q22" s="528">
        <v>194</v>
      </c>
      <c r="R22" s="528">
        <v>5</v>
      </c>
      <c r="S22" s="132">
        <v>6947091</v>
      </c>
      <c r="T22" s="24">
        <f t="shared" si="14"/>
        <v>6951727</v>
      </c>
      <c r="U22" s="132">
        <v>6785071</v>
      </c>
      <c r="V22" s="132">
        <v>166656</v>
      </c>
      <c r="W22" s="135">
        <f t="shared" si="11"/>
        <v>2.3973323463363852E-2</v>
      </c>
    </row>
    <row r="23" spans="1:23">
      <c r="A23" s="15">
        <v>2002</v>
      </c>
      <c r="B23" s="528">
        <v>23</v>
      </c>
      <c r="C23" s="528">
        <v>18</v>
      </c>
      <c r="D23" s="23">
        <f>SUM(B23:C23)</f>
        <v>41</v>
      </c>
      <c r="E23" s="82">
        <f>ROUND((O23/B23), 0)</f>
        <v>20</v>
      </c>
      <c r="F23" s="82">
        <f t="shared" si="13"/>
        <v>11</v>
      </c>
      <c r="G23" s="85"/>
      <c r="H23" s="85"/>
      <c r="I23" s="528">
        <v>241</v>
      </c>
      <c r="J23" s="528">
        <v>342</v>
      </c>
      <c r="K23" s="23">
        <f>SUM(I23:J23)</f>
        <v>583</v>
      </c>
      <c r="L23" s="528">
        <f>ROUND(185.2, 0)</f>
        <v>185</v>
      </c>
      <c r="M23" s="82">
        <f>(I23+L23)</f>
        <v>426</v>
      </c>
      <c r="N23" s="528">
        <v>31</v>
      </c>
      <c r="O23" s="528">
        <v>457</v>
      </c>
      <c r="P23" s="133">
        <f t="shared" si="10"/>
        <v>0.93216630196936545</v>
      </c>
      <c r="Q23" s="528">
        <v>192</v>
      </c>
      <c r="R23" s="528">
        <v>2</v>
      </c>
      <c r="S23" s="132">
        <v>6629132</v>
      </c>
      <c r="T23" s="24">
        <f t="shared" si="14"/>
        <v>6894190</v>
      </c>
      <c r="U23" s="132">
        <v>6572304</v>
      </c>
      <c r="V23" s="132">
        <v>321886</v>
      </c>
      <c r="W23" s="135">
        <f t="shared" si="11"/>
        <v>4.6689458805167831E-2</v>
      </c>
    </row>
    <row r="24" spans="1:23">
      <c r="A24" s="550" t="s">
        <v>89</v>
      </c>
      <c r="B24" s="550"/>
      <c r="C24" s="550"/>
      <c r="D24" s="550"/>
      <c r="E24" s="550"/>
      <c r="F24" s="550"/>
      <c r="G24" s="550"/>
      <c r="H24" s="550"/>
      <c r="I24" s="550"/>
      <c r="J24" s="550"/>
      <c r="K24" s="550"/>
      <c r="L24" s="550"/>
      <c r="M24" s="550"/>
      <c r="N24" s="550"/>
      <c r="O24" s="550"/>
      <c r="P24" s="550"/>
      <c r="Q24" s="550"/>
      <c r="R24" s="550"/>
      <c r="S24" s="550"/>
      <c r="T24" s="550"/>
      <c r="U24" s="538"/>
      <c r="V24" s="538"/>
      <c r="W24" s="538"/>
    </row>
    <row r="25" spans="1:23">
      <c r="A25" s="538" t="s">
        <v>90</v>
      </c>
      <c r="B25" s="538"/>
      <c r="C25" s="538"/>
      <c r="D25" s="538"/>
      <c r="E25" s="538"/>
      <c r="F25" s="538"/>
      <c r="G25" s="538"/>
      <c r="H25" s="538"/>
      <c r="I25" s="538"/>
      <c r="J25" s="538"/>
      <c r="K25" s="538"/>
      <c r="L25" s="538"/>
      <c r="M25" s="538"/>
      <c r="N25" s="538"/>
      <c r="O25" s="538"/>
      <c r="P25" s="538"/>
      <c r="Q25" s="538"/>
      <c r="R25" s="538"/>
      <c r="S25" s="538"/>
      <c r="T25" s="538"/>
      <c r="U25" s="538"/>
      <c r="V25" s="538"/>
      <c r="W25" s="538"/>
    </row>
    <row r="26" spans="1:23">
      <c r="A26" s="537" t="s">
        <v>91</v>
      </c>
      <c r="B26" s="576"/>
      <c r="C26" s="576"/>
      <c r="D26" s="576"/>
      <c r="E26" s="576"/>
      <c r="F26" s="576"/>
      <c r="G26" s="576"/>
      <c r="H26" s="576"/>
      <c r="I26" s="576"/>
      <c r="J26" s="576"/>
      <c r="K26" s="576"/>
      <c r="L26" s="576"/>
      <c r="M26" s="576"/>
      <c r="N26" s="576"/>
      <c r="O26" s="576"/>
      <c r="P26" s="576"/>
      <c r="Q26" s="576"/>
      <c r="R26" s="576"/>
      <c r="S26" s="576"/>
      <c r="T26" s="576"/>
      <c r="U26" s="576"/>
      <c r="V26" s="576"/>
      <c r="W26" s="576"/>
    </row>
    <row r="27" spans="1:23" s="12" customFormat="1">
      <c r="A27" s="539" t="s">
        <v>92</v>
      </c>
      <c r="B27" s="538"/>
      <c r="C27" s="538"/>
      <c r="D27" s="538"/>
      <c r="E27" s="538"/>
      <c r="F27" s="538"/>
      <c r="G27" s="538"/>
      <c r="H27" s="538"/>
      <c r="I27" s="538"/>
      <c r="J27" s="538"/>
      <c r="K27" s="538"/>
      <c r="L27" s="538"/>
      <c r="M27" s="538"/>
      <c r="N27" s="538"/>
      <c r="O27" s="538"/>
      <c r="P27" s="538"/>
      <c r="Q27" s="538"/>
      <c r="R27" s="538"/>
      <c r="S27" s="538"/>
      <c r="T27" s="538"/>
      <c r="U27" s="538"/>
      <c r="V27" s="538"/>
      <c r="W27" s="538"/>
    </row>
    <row r="28" spans="1:23" s="12" customFormat="1"/>
    <row r="29" spans="1:23" s="12" customFormat="1"/>
    <row r="30" spans="1:23" s="12" customFormat="1"/>
    <row r="31" spans="1:23" s="12" customFormat="1"/>
    <row r="32" spans="1:23" s="12" customFormat="1"/>
    <row r="33" spans="2:2" s="12" customFormat="1"/>
    <row r="34" spans="2:2" s="12" customFormat="1"/>
    <row r="35" spans="2:2" s="12" customFormat="1"/>
    <row r="36" spans="2:2" s="12" customFormat="1"/>
    <row r="37" spans="2:2" s="12" customFormat="1">
      <c r="B37" s="12" t="s">
        <v>93</v>
      </c>
    </row>
  </sheetData>
  <mergeCells count="4">
    <mergeCell ref="A25:W25"/>
    <mergeCell ref="A24:W24"/>
    <mergeCell ref="A26:W26"/>
    <mergeCell ref="A27:W27"/>
  </mergeCells>
  <printOptions headings="1" gridLines="1"/>
  <pageMargins left="0.5" right="0.5" top="0.5" bottom="0.5" header="0" footer="0"/>
  <pageSetup paperSize="5" scale="67" orientation="landscape" r:id="rId1"/>
  <legacyDrawing r:id="rId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L24"/>
  <sheetViews>
    <sheetView workbookViewId="0">
      <selection activeCell="J16" sqref="J16"/>
    </sheetView>
  </sheetViews>
  <sheetFormatPr defaultColWidth="8.85546875" defaultRowHeight="15"/>
  <cols>
    <col min="1" max="1" width="9.42578125" customWidth="1"/>
    <col min="2" max="2" width="8.7109375" customWidth="1"/>
    <col min="3" max="3" width="10" customWidth="1"/>
    <col min="4" max="4" width="9.85546875" customWidth="1"/>
    <col min="5" max="5" width="11.85546875" customWidth="1"/>
    <col min="6" max="8" width="12.140625" customWidth="1"/>
    <col min="9" max="9" width="8.85546875" bestFit="1" customWidth="1"/>
    <col min="10" max="11" width="11.85546875" bestFit="1" customWidth="1"/>
    <col min="12" max="12" width="12.28515625" bestFit="1" customWidth="1"/>
    <col min="13" max="13" width="13.140625" bestFit="1" customWidth="1"/>
    <col min="14" max="14" width="11.7109375" customWidth="1"/>
    <col min="15" max="15" width="13.42578125" bestFit="1" customWidth="1"/>
    <col min="16" max="16" width="14.28515625" customWidth="1"/>
    <col min="17" max="17" width="12.42578125" bestFit="1" customWidth="1"/>
    <col min="18" max="18" width="9" bestFit="1" customWidth="1"/>
    <col min="19" max="19" width="13" customWidth="1"/>
    <col min="20" max="20" width="12.85546875" bestFit="1" customWidth="1"/>
    <col min="21" max="21" width="11.140625" bestFit="1" customWidth="1"/>
    <col min="22" max="22" width="10.85546875" bestFit="1" customWidth="1"/>
    <col min="23" max="23" width="12.85546875" bestFit="1" customWidth="1"/>
  </cols>
  <sheetData>
    <row r="1" spans="1:220" s="1" customFormat="1" ht="18.75">
      <c r="A1" s="1" t="s">
        <v>94</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row>
    <row r="2" spans="1:220" s="3"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row>
    <row r="3" spans="1:220" s="6" customFormat="1">
      <c r="A3" s="367">
        <v>2022</v>
      </c>
      <c r="B3" s="17">
        <v>50</v>
      </c>
      <c r="C3" s="17">
        <v>63</v>
      </c>
      <c r="D3" s="174">
        <f t="shared" ref="D3" si="0">SUM(B3:C3)</f>
        <v>113</v>
      </c>
      <c r="E3" s="82">
        <f t="shared" ref="E3" si="1">ROUND((O3/B3), 0)</f>
        <v>35</v>
      </c>
      <c r="F3" s="174">
        <f t="shared" ref="F3" si="2">ROUND((O3/D3), 0)</f>
        <v>16</v>
      </c>
      <c r="G3" s="66">
        <v>10</v>
      </c>
      <c r="H3" s="17">
        <f>67/4</f>
        <v>16.75</v>
      </c>
      <c r="I3" s="17">
        <v>79</v>
      </c>
      <c r="J3" s="17">
        <v>288</v>
      </c>
      <c r="K3" s="309">
        <f>SUM(I3:J3)</f>
        <v>367</v>
      </c>
      <c r="L3" s="17">
        <v>288</v>
      </c>
      <c r="M3" s="82">
        <f>(I3+L3)</f>
        <v>367</v>
      </c>
      <c r="N3" s="17">
        <v>48</v>
      </c>
      <c r="O3" s="17">
        <v>1774</v>
      </c>
      <c r="P3" s="311">
        <f t="shared" ref="P3" si="3">M3/O3</f>
        <v>0.2068771138669673</v>
      </c>
      <c r="Q3" s="17">
        <v>114</v>
      </c>
      <c r="R3" s="17">
        <v>0</v>
      </c>
      <c r="S3" s="20">
        <v>15529344.960000003</v>
      </c>
      <c r="T3" s="24">
        <f t="shared" ref="T3" si="4">SUM(U3:V3)</f>
        <v>22159271.869999997</v>
      </c>
      <c r="U3" s="20">
        <v>16322446.85</v>
      </c>
      <c r="V3" s="20">
        <v>5836825.0199999996</v>
      </c>
      <c r="W3" s="135">
        <f t="shared" ref="W3" si="5">V3/T3</f>
        <v>0.26340328573260113</v>
      </c>
    </row>
    <row r="4" spans="1:220" s="6" customFormat="1">
      <c r="A4" s="367">
        <v>2021</v>
      </c>
      <c r="B4" s="17">
        <v>58</v>
      </c>
      <c r="C4" s="17">
        <v>43</v>
      </c>
      <c r="D4" s="23">
        <f>SUM(B4:C4)</f>
        <v>101</v>
      </c>
      <c r="E4" s="310">
        <f>O4/B4</f>
        <v>25.775862068965516</v>
      </c>
      <c r="F4" s="310">
        <f>O4/D4</f>
        <v>14.801980198019802</v>
      </c>
      <c r="G4" s="17">
        <v>8</v>
      </c>
      <c r="H4" s="17">
        <f>51/4</f>
        <v>12.75</v>
      </c>
      <c r="I4" s="17">
        <v>81</v>
      </c>
      <c r="J4" s="17">
        <v>265</v>
      </c>
      <c r="K4" s="309">
        <v>346</v>
      </c>
      <c r="L4" s="17">
        <v>151</v>
      </c>
      <c r="M4" s="82">
        <v>232</v>
      </c>
      <c r="N4" s="17">
        <v>32</v>
      </c>
      <c r="O4" s="17">
        <v>1495</v>
      </c>
      <c r="P4" s="311">
        <v>0.155</v>
      </c>
      <c r="Q4" s="17">
        <v>109</v>
      </c>
      <c r="R4" s="17">
        <v>337</v>
      </c>
      <c r="S4" s="20">
        <v>12747248.300000001</v>
      </c>
      <c r="T4" s="312">
        <f>SUM(U4:V4)</f>
        <v>19979226.530000001</v>
      </c>
      <c r="U4" s="20">
        <v>14535393.74</v>
      </c>
      <c r="V4" s="20">
        <v>5443832.79</v>
      </c>
      <c r="W4" s="135">
        <f>V4/T4</f>
        <v>0.27247465170014268</v>
      </c>
    </row>
    <row r="5" spans="1:220" s="6" customFormat="1">
      <c r="A5" s="367">
        <v>2020</v>
      </c>
      <c r="B5" s="17">
        <v>64</v>
      </c>
      <c r="C5" s="17">
        <v>46</v>
      </c>
      <c r="D5" s="23">
        <f>SUM(B5:C5)</f>
        <v>110</v>
      </c>
      <c r="E5" s="310">
        <f>O5/B5</f>
        <v>22.796875</v>
      </c>
      <c r="F5" s="310">
        <f>O5/D5</f>
        <v>13.263636363636364</v>
      </c>
      <c r="G5" s="17">
        <v>8</v>
      </c>
      <c r="H5" s="17">
        <v>7.75</v>
      </c>
      <c r="I5" s="17">
        <v>55</v>
      </c>
      <c r="J5" s="17">
        <v>231</v>
      </c>
      <c r="K5" s="309">
        <f>SUM(I5:J5)</f>
        <v>286</v>
      </c>
      <c r="L5" s="17">
        <v>131</v>
      </c>
      <c r="M5" s="82">
        <f>(I5+L5)</f>
        <v>186</v>
      </c>
      <c r="N5" s="17">
        <v>34</v>
      </c>
      <c r="O5" s="17">
        <v>1459</v>
      </c>
      <c r="P5" s="311">
        <f t="shared" ref="P5" si="6">M5/O5</f>
        <v>0.12748457847840988</v>
      </c>
      <c r="Q5" s="17">
        <v>93</v>
      </c>
      <c r="R5" s="17">
        <v>0</v>
      </c>
      <c r="S5" s="20">
        <v>13081708.900000004</v>
      </c>
      <c r="T5" s="312">
        <f>SUM(U5:V5)</f>
        <v>17984366.200000003</v>
      </c>
      <c r="U5" s="20">
        <v>14662324.200000003</v>
      </c>
      <c r="V5" s="20">
        <v>3322042</v>
      </c>
      <c r="W5" s="135">
        <f>V5/T5</f>
        <v>0.18471832496382326</v>
      </c>
    </row>
    <row r="6" spans="1:220">
      <c r="A6" s="105">
        <v>2019</v>
      </c>
      <c r="B6" s="17">
        <v>56</v>
      </c>
      <c r="C6" s="17">
        <v>44</v>
      </c>
      <c r="D6" s="309">
        <v>97</v>
      </c>
      <c r="E6" s="310">
        <v>26</v>
      </c>
      <c r="F6" s="310">
        <v>15</v>
      </c>
      <c r="G6" s="17">
        <v>8</v>
      </c>
      <c r="H6" s="17">
        <v>5.9</v>
      </c>
      <c r="I6" s="17">
        <v>54</v>
      </c>
      <c r="J6" s="17">
        <v>227</v>
      </c>
      <c r="K6" s="309">
        <f>SUM(I6:J6)</f>
        <v>281</v>
      </c>
      <c r="L6" s="17">
        <v>129</v>
      </c>
      <c r="M6" s="310">
        <f>L6+I6</f>
        <v>183</v>
      </c>
      <c r="N6" s="17">
        <v>14</v>
      </c>
      <c r="O6" s="17">
        <v>1406</v>
      </c>
      <c r="P6" s="311">
        <f t="shared" ref="P6" si="7">M6/O6</f>
        <v>0.13015647226173541</v>
      </c>
      <c r="Q6" s="17">
        <v>92</v>
      </c>
      <c r="R6" s="17">
        <v>306</v>
      </c>
      <c r="S6" s="20">
        <v>13399516</v>
      </c>
      <c r="T6" s="312">
        <f>SUM(U6:V6)</f>
        <v>16659590</v>
      </c>
      <c r="U6" s="20">
        <v>14321366</v>
      </c>
      <c r="V6" s="20">
        <v>2338224</v>
      </c>
      <c r="W6" s="135">
        <v>0.1404</v>
      </c>
    </row>
    <row r="7" spans="1:220" s="14" customFormat="1">
      <c r="A7" s="10">
        <v>2018</v>
      </c>
      <c r="B7" s="17">
        <v>53</v>
      </c>
      <c r="C7" s="17">
        <v>35</v>
      </c>
      <c r="D7" s="23">
        <f>SUM(B7:C7)</f>
        <v>88</v>
      </c>
      <c r="E7" s="82">
        <f>ROUND((O7/B7), 0)</f>
        <v>26</v>
      </c>
      <c r="F7" s="82">
        <f>ROUND((O7/D7), 0)</f>
        <v>16</v>
      </c>
      <c r="G7" s="17">
        <v>8</v>
      </c>
      <c r="H7" s="17">
        <v>4.5999999999999996</v>
      </c>
      <c r="I7" s="17">
        <v>57</v>
      </c>
      <c r="J7" s="17">
        <v>196</v>
      </c>
      <c r="K7" s="23">
        <f t="shared" ref="K7" si="8">SUM(I7:J7)</f>
        <v>253</v>
      </c>
      <c r="L7" s="17">
        <v>196</v>
      </c>
      <c r="M7" s="82">
        <f>(I7+L7)</f>
        <v>253</v>
      </c>
      <c r="N7" s="17">
        <v>28</v>
      </c>
      <c r="O7" s="17">
        <v>1366</v>
      </c>
      <c r="P7" s="133">
        <f t="shared" ref="P7" si="9">M7/O7</f>
        <v>0.18521229868228403</v>
      </c>
      <c r="Q7" s="17">
        <v>57</v>
      </c>
      <c r="R7" s="17">
        <v>331</v>
      </c>
      <c r="S7" s="20">
        <v>13023751.790000003</v>
      </c>
      <c r="T7" s="24">
        <f>SUM(U7:V7)</f>
        <v>16143313</v>
      </c>
      <c r="U7" s="20">
        <v>14480855</v>
      </c>
      <c r="V7" s="20">
        <v>1662458</v>
      </c>
      <c r="W7" s="135">
        <f t="shared" ref="W7" si="10">V7/T7</f>
        <v>0.10298121581363132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178" customFormat="1">
      <c r="A8" s="173">
        <v>2017</v>
      </c>
      <c r="B8" s="257">
        <v>53</v>
      </c>
      <c r="C8" s="257">
        <v>31</v>
      </c>
      <c r="D8" s="174">
        <f>SUM(B8:C8)</f>
        <v>84</v>
      </c>
      <c r="E8" s="174">
        <f>ROUND((O8/B8), 0)</f>
        <v>24</v>
      </c>
      <c r="F8" s="174">
        <f>ROUND((O8/D8), 0)</f>
        <v>15</v>
      </c>
      <c r="G8" s="257">
        <v>8</v>
      </c>
      <c r="H8" s="257">
        <v>3.3</v>
      </c>
      <c r="I8" s="257">
        <v>48</v>
      </c>
      <c r="J8" s="257">
        <v>183</v>
      </c>
      <c r="K8" s="174">
        <f>SUM(I8:J8)</f>
        <v>231</v>
      </c>
      <c r="L8" s="257">
        <v>92</v>
      </c>
      <c r="M8" s="175">
        <f>(I8+L8)</f>
        <v>140</v>
      </c>
      <c r="N8" s="258">
        <v>24</v>
      </c>
      <c r="O8" s="258">
        <v>1255</v>
      </c>
      <c r="P8" s="274">
        <f>M8/O8</f>
        <v>0.11155378486055777</v>
      </c>
      <c r="Q8" s="257">
        <v>81</v>
      </c>
      <c r="R8" s="257">
        <v>220</v>
      </c>
      <c r="S8" s="275">
        <v>14248287</v>
      </c>
      <c r="T8" s="176">
        <f>SUM(U8:V8)</f>
        <v>15039177</v>
      </c>
      <c r="U8" s="276">
        <v>13548711</v>
      </c>
      <c r="V8" s="259">
        <v>1490466</v>
      </c>
      <c r="W8" s="177">
        <f>V8/T8</f>
        <v>9.9105556108555676E-2</v>
      </c>
    </row>
    <row r="9" spans="1:220" s="12" customFormat="1">
      <c r="G9"/>
      <c r="H9"/>
    </row>
    <row r="10" spans="1:220" s="12" customFormat="1">
      <c r="G10"/>
      <c r="H10"/>
    </row>
    <row r="11" spans="1:220" s="12" customFormat="1">
      <c r="G11"/>
      <c r="H11"/>
    </row>
    <row r="12" spans="1:220" s="12" customFormat="1">
      <c r="G12"/>
      <c r="H12"/>
    </row>
    <row r="13" spans="1:220" s="12" customFormat="1">
      <c r="G13"/>
      <c r="H13"/>
    </row>
    <row r="14" spans="1:220" s="12" customFormat="1">
      <c r="G14"/>
      <c r="H14"/>
    </row>
    <row r="15" spans="1:220" s="12" customFormat="1">
      <c r="G15"/>
      <c r="H15"/>
    </row>
    <row r="16" spans="1:220" s="12" customFormat="1">
      <c r="G16"/>
      <c r="H16"/>
    </row>
    <row r="17" spans="7:8" s="12" customFormat="1">
      <c r="G17"/>
      <c r="H17"/>
    </row>
    <row r="18" spans="7:8" s="12" customFormat="1">
      <c r="G18"/>
      <c r="H18"/>
    </row>
    <row r="19" spans="7:8" s="12" customFormat="1">
      <c r="G19"/>
      <c r="H19"/>
    </row>
    <row r="20" spans="7:8" s="12" customFormat="1">
      <c r="G20"/>
      <c r="H20"/>
    </row>
    <row r="22" spans="7:8" ht="20.100000000000001" customHeight="1"/>
    <row r="23" spans="7:8" ht="18" customHeight="1"/>
    <row r="24" spans="7:8" ht="17.25" customHeight="1"/>
  </sheetData>
  <printOptions headings="1" gridLines="1"/>
  <pageMargins left="0.5" right="0.5" top="0.5" bottom="0.5" header="0" footer="0"/>
  <pageSetup paperSize="5" scale="67" orientation="landscape"/>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L34"/>
  <sheetViews>
    <sheetView workbookViewId="0">
      <selection activeCell="M6" sqref="M6"/>
    </sheetView>
  </sheetViews>
  <sheetFormatPr defaultColWidth="8.85546875" defaultRowHeight="15"/>
  <cols>
    <col min="1" max="1" width="10.1406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28515625" bestFit="1" customWidth="1"/>
    <col min="22" max="22" width="10.85546875" bestFit="1" customWidth="1"/>
    <col min="23" max="23" width="12.85546875" bestFit="1" customWidth="1"/>
  </cols>
  <sheetData>
    <row r="1" spans="1:220" s="1" customFormat="1" ht="18.75">
      <c r="A1" s="1" t="s">
        <v>95</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72" customFormat="1">
      <c r="A3" s="105">
        <v>2022</v>
      </c>
      <c r="B3" s="54">
        <v>8</v>
      </c>
      <c r="C3" s="66">
        <v>2</v>
      </c>
      <c r="D3" s="353">
        <f t="shared" ref="D3:D8" si="0">SUM(B3:C3)</f>
        <v>10</v>
      </c>
      <c r="E3" s="353">
        <f t="shared" ref="E3" si="1">ROUND((O3/B3), 0)</f>
        <v>11</v>
      </c>
      <c r="F3" s="353">
        <f t="shared" ref="F3" si="2">ROUND((O3/D3), 0)</f>
        <v>9</v>
      </c>
      <c r="G3" s="321">
        <v>7</v>
      </c>
      <c r="H3" s="321">
        <v>2</v>
      </c>
      <c r="I3" s="321">
        <v>68</v>
      </c>
      <c r="J3" s="321">
        <v>40</v>
      </c>
      <c r="K3" s="353">
        <f t="shared" ref="K3" si="3">SUM(I3:J3)</f>
        <v>108</v>
      </c>
      <c r="L3" s="321">
        <v>23.3</v>
      </c>
      <c r="M3" s="106">
        <f t="shared" ref="M3:M8" si="4">(I3+L3)</f>
        <v>91.3</v>
      </c>
      <c r="N3" s="66">
        <v>10</v>
      </c>
      <c r="O3" s="66">
        <v>91.3</v>
      </c>
      <c r="P3" s="354">
        <f t="shared" ref="P3" si="5">M3/O3</f>
        <v>1</v>
      </c>
      <c r="Q3" s="66">
        <v>31</v>
      </c>
      <c r="R3" s="321">
        <v>0</v>
      </c>
      <c r="S3" s="304">
        <v>1108898</v>
      </c>
      <c r="T3" s="297">
        <f t="shared" ref="T3" si="6">SUM(U3:V3)</f>
        <v>1757609</v>
      </c>
      <c r="U3" s="304">
        <v>1477609</v>
      </c>
      <c r="V3" s="304">
        <v>280000</v>
      </c>
      <c r="W3" s="303">
        <f t="shared" ref="W3" si="7">V3/T3</f>
        <v>0.15930733172167416</v>
      </c>
    </row>
    <row r="4" spans="1:220" s="72" customFormat="1">
      <c r="A4" s="105">
        <v>2021</v>
      </c>
      <c r="B4" s="54">
        <v>8</v>
      </c>
      <c r="C4" s="66">
        <v>0.5</v>
      </c>
      <c r="D4" s="353">
        <f t="shared" si="0"/>
        <v>8.5</v>
      </c>
      <c r="E4" s="353">
        <f t="shared" ref="E4" si="8">ROUND((O4/B4), 0)</f>
        <v>10</v>
      </c>
      <c r="F4" s="353">
        <f t="shared" ref="F4" si="9">ROUND((O4/D4), 0)</f>
        <v>10</v>
      </c>
      <c r="G4" s="321">
        <v>8</v>
      </c>
      <c r="H4" s="321">
        <v>0.5</v>
      </c>
      <c r="I4" s="321">
        <f>14+43+2</f>
        <v>59</v>
      </c>
      <c r="J4" s="321">
        <f>4+36</f>
        <v>40</v>
      </c>
      <c r="K4" s="353">
        <f t="shared" ref="K4" si="10">SUM(I4:J4)</f>
        <v>99</v>
      </c>
      <c r="L4" s="321">
        <f>1.6+22</f>
        <v>23.6</v>
      </c>
      <c r="M4" s="106">
        <f t="shared" si="4"/>
        <v>82.6</v>
      </c>
      <c r="N4" s="66">
        <v>7</v>
      </c>
      <c r="O4" s="66">
        <f>14+1.6+43+22+2</f>
        <v>82.6</v>
      </c>
      <c r="P4" s="354">
        <f t="shared" ref="P4" si="11">M4/O4</f>
        <v>1</v>
      </c>
      <c r="Q4" s="66">
        <v>26</v>
      </c>
      <c r="R4" s="321">
        <v>0</v>
      </c>
      <c r="S4" s="304">
        <v>929094.45</v>
      </c>
      <c r="T4" s="297">
        <f t="shared" ref="T4" si="12">SUM(U4:V4)</f>
        <v>1540456</v>
      </c>
      <c r="U4" s="304">
        <v>1093856</v>
      </c>
      <c r="V4" s="304">
        <v>446600</v>
      </c>
      <c r="W4" s="303">
        <f t="shared" ref="W4" si="13">V4/T4</f>
        <v>0.28991415528908321</v>
      </c>
    </row>
    <row r="5" spans="1:220" s="72" customFormat="1">
      <c r="A5" s="105">
        <v>2020</v>
      </c>
      <c r="B5" s="54">
        <v>9</v>
      </c>
      <c r="C5" s="66">
        <v>0.5</v>
      </c>
      <c r="D5" s="353">
        <f t="shared" si="0"/>
        <v>9.5</v>
      </c>
      <c r="E5" s="353">
        <f>ROUND((O5/B5), 0)</f>
        <v>7</v>
      </c>
      <c r="F5" s="353">
        <f>ROUND((O5/D5), 0)</f>
        <v>6</v>
      </c>
      <c r="G5" s="321">
        <v>9</v>
      </c>
      <c r="H5" s="321">
        <v>0.5</v>
      </c>
      <c r="I5" s="321">
        <v>42</v>
      </c>
      <c r="J5" s="321">
        <v>33</v>
      </c>
      <c r="K5" s="353">
        <f t="shared" ref="K5" si="14">SUM(I5:J5)</f>
        <v>75</v>
      </c>
      <c r="L5" s="321">
        <v>18</v>
      </c>
      <c r="M5" s="106">
        <f t="shared" si="4"/>
        <v>60</v>
      </c>
      <c r="N5" s="66">
        <v>3</v>
      </c>
      <c r="O5" s="66">
        <v>60</v>
      </c>
      <c r="P5" s="354">
        <f t="shared" ref="P5" si="15">M5/O5</f>
        <v>1</v>
      </c>
      <c r="Q5" s="66">
        <v>33</v>
      </c>
      <c r="R5" s="321">
        <v>0</v>
      </c>
      <c r="S5" s="304">
        <v>1795702</v>
      </c>
      <c r="T5" s="297">
        <f>SUM(U5:V5)</f>
        <v>2065811</v>
      </c>
      <c r="U5" s="304">
        <v>1319690</v>
      </c>
      <c r="V5" s="304">
        <v>746121</v>
      </c>
      <c r="W5" s="303">
        <f t="shared" ref="W5" si="16">V5/T5</f>
        <v>0.36117582876652315</v>
      </c>
    </row>
    <row r="6" spans="1:220">
      <c r="A6" s="355">
        <v>2019</v>
      </c>
      <c r="B6">
        <v>8</v>
      </c>
      <c r="C6">
        <v>0.5</v>
      </c>
      <c r="D6" s="313">
        <f t="shared" si="0"/>
        <v>8.5</v>
      </c>
      <c r="E6" s="314">
        <f>ROUND((O6/B6), 0)</f>
        <v>8</v>
      </c>
      <c r="F6" s="313">
        <f>ROUND((O6/D6), 0)</f>
        <v>8</v>
      </c>
      <c r="G6" s="315">
        <v>8</v>
      </c>
      <c r="H6" s="315">
        <v>0.5</v>
      </c>
      <c r="I6" s="59">
        <v>47</v>
      </c>
      <c r="J6">
        <v>32</v>
      </c>
      <c r="K6" s="316">
        <f t="shared" ref="K6" si="17">SUM(I6:J6)</f>
        <v>79</v>
      </c>
      <c r="L6" s="59">
        <v>18</v>
      </c>
      <c r="M6" s="316">
        <f t="shared" si="4"/>
        <v>65</v>
      </c>
      <c r="N6" s="59">
        <v>2</v>
      </c>
      <c r="O6" s="59">
        <v>65</v>
      </c>
      <c r="P6" s="317">
        <f t="shared" ref="P6" si="18">M6/O6</f>
        <v>1</v>
      </c>
      <c r="Q6" s="59">
        <v>32</v>
      </c>
      <c r="R6" s="59">
        <v>0</v>
      </c>
      <c r="S6" s="187">
        <v>1576215</v>
      </c>
      <c r="T6" s="318">
        <f>SUM(U6:V6)</f>
        <v>1583968</v>
      </c>
      <c r="U6" s="187">
        <v>1144700</v>
      </c>
      <c r="V6" s="187">
        <v>439268</v>
      </c>
      <c r="W6" s="319">
        <f t="shared" ref="W6" si="19">V6/T6</f>
        <v>0.27732125901533367</v>
      </c>
    </row>
    <row r="7" spans="1:220" s="14" customFormat="1">
      <c r="A7" s="10">
        <v>2018</v>
      </c>
      <c r="B7" s="17">
        <v>8</v>
      </c>
      <c r="C7" s="17">
        <v>0.5</v>
      </c>
      <c r="D7" s="23">
        <f t="shared" si="0"/>
        <v>8.5</v>
      </c>
      <c r="E7" s="82">
        <f>ROUND((O7/B7), 0)</f>
        <v>8</v>
      </c>
      <c r="F7" s="82">
        <f>ROUND((O7/D7), 0)</f>
        <v>8</v>
      </c>
      <c r="G7" s="17">
        <v>8</v>
      </c>
      <c r="H7" s="17">
        <v>0.25</v>
      </c>
      <c r="I7" s="17">
        <v>50</v>
      </c>
      <c r="J7" s="17">
        <v>24</v>
      </c>
      <c r="K7" s="23">
        <f t="shared" ref="K7" si="20">SUM(I7:J7)</f>
        <v>74</v>
      </c>
      <c r="L7" s="17">
        <v>15</v>
      </c>
      <c r="M7" s="82">
        <f t="shared" si="4"/>
        <v>65</v>
      </c>
      <c r="N7" s="17">
        <v>4</v>
      </c>
      <c r="O7" s="17">
        <v>65</v>
      </c>
      <c r="P7" s="133">
        <f>M7/O7</f>
        <v>1</v>
      </c>
      <c r="Q7" s="17">
        <v>40</v>
      </c>
      <c r="R7" s="17">
        <v>0</v>
      </c>
      <c r="S7" s="20">
        <v>1629151</v>
      </c>
      <c r="T7" s="24">
        <f>SUM(U7:V7)</f>
        <v>1629151</v>
      </c>
      <c r="U7" s="20">
        <v>1129119</v>
      </c>
      <c r="V7" s="20">
        <v>500032</v>
      </c>
      <c r="W7" s="135">
        <f>V7/T7</f>
        <v>0.30692796432006608</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8</v>
      </c>
      <c r="C8" s="17" t="s">
        <v>96</v>
      </c>
      <c r="D8" s="27">
        <f t="shared" si="0"/>
        <v>8</v>
      </c>
      <c r="E8" s="27">
        <f>ROUND((O8/B8), 0)</f>
        <v>10</v>
      </c>
      <c r="F8" s="27">
        <f>ROUND((O8/D8), 0)</f>
        <v>10</v>
      </c>
      <c r="G8" s="17">
        <v>8</v>
      </c>
      <c r="H8" s="17">
        <v>1.5</v>
      </c>
      <c r="I8" s="17">
        <v>63</v>
      </c>
      <c r="J8" s="17">
        <v>26</v>
      </c>
      <c r="K8" s="27">
        <f>SUM(I8:J8)</f>
        <v>89</v>
      </c>
      <c r="L8" s="17">
        <v>15</v>
      </c>
      <c r="M8" s="29">
        <f t="shared" si="4"/>
        <v>78</v>
      </c>
      <c r="N8" s="255">
        <v>6</v>
      </c>
      <c r="O8" s="255">
        <v>78</v>
      </c>
      <c r="P8" s="133">
        <f t="shared" ref="P8:P23" si="21">M8/O8</f>
        <v>1</v>
      </c>
      <c r="Q8" s="17">
        <v>34</v>
      </c>
      <c r="R8" s="17">
        <v>0</v>
      </c>
      <c r="S8" s="223">
        <v>1295898</v>
      </c>
      <c r="T8" s="28">
        <f>SUM(U8:V8)</f>
        <v>1548602</v>
      </c>
      <c r="U8" s="252">
        <v>1216663</v>
      </c>
      <c r="V8" s="20">
        <v>331939</v>
      </c>
      <c r="W8" s="135">
        <f t="shared" ref="W8:W23" si="22">V8/T8</f>
        <v>0.21434752118362238</v>
      </c>
    </row>
    <row r="9" spans="1:220" s="9" customFormat="1">
      <c r="A9" s="10">
        <v>2016</v>
      </c>
      <c r="B9" s="54">
        <v>7</v>
      </c>
      <c r="C9" s="54">
        <v>1.5</v>
      </c>
      <c r="D9" s="23">
        <f>B9+C9</f>
        <v>8.5</v>
      </c>
      <c r="E9" s="82">
        <f>ROUND((O9/B9), 0)</f>
        <v>10</v>
      </c>
      <c r="F9" s="82">
        <f>ROUND((O9/D9), 0)</f>
        <v>8</v>
      </c>
      <c r="G9" s="66">
        <v>7</v>
      </c>
      <c r="H9" s="66">
        <v>1.5</v>
      </c>
      <c r="I9" s="54">
        <v>51</v>
      </c>
      <c r="J9" s="54">
        <v>30</v>
      </c>
      <c r="K9" s="23">
        <f>I9+J9</f>
        <v>81</v>
      </c>
      <c r="L9" s="54">
        <v>19</v>
      </c>
      <c r="M9" s="82">
        <f>I9+L9</f>
        <v>70</v>
      </c>
      <c r="N9" s="54">
        <v>5</v>
      </c>
      <c r="O9" s="54">
        <v>70</v>
      </c>
      <c r="P9" s="133">
        <f t="shared" si="21"/>
        <v>1</v>
      </c>
      <c r="Q9" s="54">
        <v>33</v>
      </c>
      <c r="R9" s="54">
        <v>0</v>
      </c>
      <c r="S9" s="54">
        <v>1223867</v>
      </c>
      <c r="T9" s="24">
        <f>SUM(U9:V9)</f>
        <v>1241930</v>
      </c>
      <c r="U9" s="54">
        <v>1059165</v>
      </c>
      <c r="V9" s="54">
        <v>182765</v>
      </c>
      <c r="W9" s="135">
        <f t="shared" si="22"/>
        <v>0.14716207837800843</v>
      </c>
    </row>
    <row r="10" spans="1:220" s="16" customFormat="1">
      <c r="A10" s="15">
        <v>2015</v>
      </c>
      <c r="B10" s="70">
        <v>5</v>
      </c>
      <c r="C10" s="70">
        <v>2</v>
      </c>
      <c r="D10" s="65">
        <v>7</v>
      </c>
      <c r="E10" s="65">
        <v>12.4</v>
      </c>
      <c r="F10" s="65">
        <v>8.8000000000000007</v>
      </c>
      <c r="G10" s="83"/>
      <c r="H10" s="83"/>
      <c r="I10" s="70">
        <v>44</v>
      </c>
      <c r="J10" s="70">
        <v>29</v>
      </c>
      <c r="K10" s="65">
        <v>73</v>
      </c>
      <c r="L10" s="70">
        <v>18</v>
      </c>
      <c r="M10" s="65">
        <v>61.89</v>
      </c>
      <c r="N10" s="70">
        <v>5</v>
      </c>
      <c r="O10" s="70">
        <v>61.89</v>
      </c>
      <c r="P10" s="133">
        <f t="shared" si="21"/>
        <v>1</v>
      </c>
      <c r="Q10" s="70">
        <v>26</v>
      </c>
      <c r="R10" s="70">
        <v>0</v>
      </c>
      <c r="S10" s="78">
        <v>994653</v>
      </c>
      <c r="T10" s="79">
        <v>1065863</v>
      </c>
      <c r="U10" s="78">
        <v>795604</v>
      </c>
      <c r="V10" s="78">
        <v>270259</v>
      </c>
      <c r="W10" s="135">
        <f t="shared" si="22"/>
        <v>0.25355885324849442</v>
      </c>
    </row>
    <row r="11" spans="1:220" s="16" customFormat="1">
      <c r="A11" s="15">
        <v>2014</v>
      </c>
      <c r="B11" s="70">
        <v>5</v>
      </c>
      <c r="C11" s="70">
        <v>0</v>
      </c>
      <c r="D11" s="65">
        <v>5</v>
      </c>
      <c r="E11" s="65">
        <v>11.6</v>
      </c>
      <c r="F11" s="65">
        <v>11.6</v>
      </c>
      <c r="G11" s="83"/>
      <c r="H11" s="83"/>
      <c r="I11" s="70">
        <v>39</v>
      </c>
      <c r="J11" s="70">
        <v>30</v>
      </c>
      <c r="K11" s="65">
        <v>69</v>
      </c>
      <c r="L11" s="70">
        <v>19</v>
      </c>
      <c r="M11" s="65">
        <v>58</v>
      </c>
      <c r="N11" s="70">
        <v>2</v>
      </c>
      <c r="O11" s="70">
        <v>58</v>
      </c>
      <c r="P11" s="133">
        <f t="shared" si="21"/>
        <v>1</v>
      </c>
      <c r="Q11" s="70">
        <v>22</v>
      </c>
      <c r="R11" s="70">
        <v>0</v>
      </c>
      <c r="S11" s="78">
        <v>1029558</v>
      </c>
      <c r="T11" s="79">
        <v>1028954</v>
      </c>
      <c r="U11" s="78">
        <v>922516</v>
      </c>
      <c r="V11" s="78">
        <v>106438</v>
      </c>
      <c r="W11" s="135">
        <f t="shared" si="22"/>
        <v>0.10344291387175715</v>
      </c>
    </row>
    <row r="12" spans="1:220">
      <c r="A12" s="15">
        <v>2013</v>
      </c>
      <c r="B12" s="528">
        <v>5</v>
      </c>
      <c r="C12" s="528">
        <v>0</v>
      </c>
      <c r="D12" s="23">
        <f>B12+C12</f>
        <v>5</v>
      </c>
      <c r="E12" s="82">
        <f t="shared" ref="E12:E23" si="23">ROUND((O12/B12), 0)</f>
        <v>10</v>
      </c>
      <c r="F12" s="82">
        <f t="shared" ref="F12:F23" si="24">ROUND((O12/D12), 0)</f>
        <v>10</v>
      </c>
      <c r="G12" s="85"/>
      <c r="H12" s="85"/>
      <c r="I12" s="528">
        <v>43</v>
      </c>
      <c r="J12" s="528">
        <v>12</v>
      </c>
      <c r="K12" s="23">
        <f>I12+J12</f>
        <v>55</v>
      </c>
      <c r="L12" s="528">
        <v>7.7</v>
      </c>
      <c r="M12" s="82">
        <f>I12+L12</f>
        <v>50.7</v>
      </c>
      <c r="N12" s="528">
        <v>1</v>
      </c>
      <c r="O12" s="528">
        <v>50.7</v>
      </c>
      <c r="P12" s="133">
        <f t="shared" si="21"/>
        <v>1</v>
      </c>
      <c r="Q12" s="528">
        <v>27</v>
      </c>
      <c r="R12" s="528">
        <v>0</v>
      </c>
      <c r="S12" s="84">
        <v>873854</v>
      </c>
      <c r="T12" s="24">
        <f t="shared" ref="T12:T23" si="25">SUM(U12:V12)</f>
        <v>888794</v>
      </c>
      <c r="U12" s="84">
        <v>732903</v>
      </c>
      <c r="V12" s="84">
        <v>155891</v>
      </c>
      <c r="W12" s="135">
        <f t="shared" si="22"/>
        <v>0.17539609853351845</v>
      </c>
    </row>
    <row r="13" spans="1:220">
      <c r="A13" s="15">
        <v>2012</v>
      </c>
      <c r="B13" s="528">
        <v>5</v>
      </c>
      <c r="C13" s="528">
        <v>0.5</v>
      </c>
      <c r="D13" s="23">
        <f>B13+C13</f>
        <v>5.5</v>
      </c>
      <c r="E13" s="82">
        <f t="shared" si="23"/>
        <v>12</v>
      </c>
      <c r="F13" s="82">
        <f t="shared" si="24"/>
        <v>11</v>
      </c>
      <c r="G13" s="85"/>
      <c r="H13" s="85"/>
      <c r="I13" s="528">
        <v>52</v>
      </c>
      <c r="J13" s="528">
        <v>10</v>
      </c>
      <c r="K13" s="23">
        <f>I13+J13</f>
        <v>62</v>
      </c>
      <c r="L13" s="528">
        <v>7.75</v>
      </c>
      <c r="M13" s="82">
        <f>I13+L13</f>
        <v>59.75</v>
      </c>
      <c r="N13" s="528">
        <v>1</v>
      </c>
      <c r="O13" s="528">
        <v>59.75</v>
      </c>
      <c r="P13" s="133">
        <f t="shared" si="21"/>
        <v>1</v>
      </c>
      <c r="Q13" s="528">
        <v>22</v>
      </c>
      <c r="R13" s="528">
        <v>0</v>
      </c>
      <c r="S13" s="84">
        <v>791190</v>
      </c>
      <c r="T13" s="24">
        <f t="shared" si="25"/>
        <v>792236</v>
      </c>
      <c r="U13" s="84">
        <v>713607</v>
      </c>
      <c r="V13" s="84">
        <v>78629</v>
      </c>
      <c r="W13" s="135">
        <f t="shared" si="22"/>
        <v>9.9249466068191808E-2</v>
      </c>
    </row>
    <row r="14" spans="1:220">
      <c r="A14" s="15">
        <v>2011</v>
      </c>
      <c r="B14" s="528">
        <v>6.5</v>
      </c>
      <c r="C14" s="528">
        <v>0</v>
      </c>
      <c r="D14" s="23">
        <f t="shared" ref="D14:D23" si="26">SUM(B14:C14)</f>
        <v>6.5</v>
      </c>
      <c r="E14" s="82">
        <f t="shared" si="23"/>
        <v>8</v>
      </c>
      <c r="F14" s="82">
        <f t="shared" si="24"/>
        <v>8</v>
      </c>
      <c r="G14" s="85"/>
      <c r="H14" s="85"/>
      <c r="I14" s="528">
        <v>45</v>
      </c>
      <c r="J14" s="528">
        <v>14</v>
      </c>
      <c r="K14" s="23">
        <f t="shared" ref="K14:K23" si="27">SUM(I14:J14)</f>
        <v>59</v>
      </c>
      <c r="L14" s="528">
        <v>7.4</v>
      </c>
      <c r="M14" s="82">
        <f t="shared" ref="M14:M23" si="28">(I14+L14)</f>
        <v>52.4</v>
      </c>
      <c r="N14" s="528">
        <v>3</v>
      </c>
      <c r="O14" s="528">
        <v>52.4</v>
      </c>
      <c r="P14" s="133">
        <f t="shared" si="21"/>
        <v>1</v>
      </c>
      <c r="Q14" s="528">
        <v>46</v>
      </c>
      <c r="R14" s="528">
        <v>0</v>
      </c>
      <c r="S14" s="84">
        <v>1028474</v>
      </c>
      <c r="T14" s="24">
        <f t="shared" si="25"/>
        <v>1121585.6099999999</v>
      </c>
      <c r="U14" s="84">
        <v>837831.53</v>
      </c>
      <c r="V14" s="84">
        <v>283754.07999999996</v>
      </c>
      <c r="W14" s="135">
        <f t="shared" si="22"/>
        <v>0.25299368810553835</v>
      </c>
    </row>
    <row r="15" spans="1:220">
      <c r="A15" s="15">
        <v>2010</v>
      </c>
      <c r="B15" s="528">
        <v>6.5</v>
      </c>
      <c r="C15" s="528">
        <v>0</v>
      </c>
      <c r="D15" s="23">
        <f t="shared" si="26"/>
        <v>6.5</v>
      </c>
      <c r="E15" s="82">
        <f t="shared" si="23"/>
        <v>10</v>
      </c>
      <c r="F15" s="82">
        <f t="shared" si="24"/>
        <v>10</v>
      </c>
      <c r="G15" s="85"/>
      <c r="H15" s="85"/>
      <c r="I15" s="528">
        <v>50</v>
      </c>
      <c r="J15" s="528">
        <v>29</v>
      </c>
      <c r="K15" s="23">
        <f t="shared" si="27"/>
        <v>79</v>
      </c>
      <c r="L15" s="528">
        <v>17.89</v>
      </c>
      <c r="M15" s="82">
        <f t="shared" si="28"/>
        <v>67.89</v>
      </c>
      <c r="N15" s="528">
        <v>2</v>
      </c>
      <c r="O15" s="528">
        <v>67.89</v>
      </c>
      <c r="P15" s="133">
        <f t="shared" si="21"/>
        <v>1</v>
      </c>
      <c r="Q15" s="528">
        <v>56</v>
      </c>
      <c r="R15" s="528">
        <v>0</v>
      </c>
      <c r="S15" s="84">
        <v>1610160</v>
      </c>
      <c r="T15" s="24">
        <f t="shared" si="25"/>
        <v>1804298</v>
      </c>
      <c r="U15" s="84">
        <v>782347</v>
      </c>
      <c r="V15" s="84">
        <v>1021951</v>
      </c>
      <c r="W15" s="135">
        <f t="shared" si="22"/>
        <v>0.56639812270478607</v>
      </c>
    </row>
    <row r="16" spans="1:220">
      <c r="A16" s="15">
        <v>2009</v>
      </c>
      <c r="B16" s="528">
        <v>6.5</v>
      </c>
      <c r="C16" s="528">
        <v>0</v>
      </c>
      <c r="D16" s="23">
        <f t="shared" si="26"/>
        <v>6.5</v>
      </c>
      <c r="E16" s="82">
        <f t="shared" si="23"/>
        <v>14</v>
      </c>
      <c r="F16" s="82">
        <f t="shared" si="24"/>
        <v>14</v>
      </c>
      <c r="G16" s="85"/>
      <c r="H16" s="85"/>
      <c r="I16" s="528">
        <v>53</v>
      </c>
      <c r="J16" s="528">
        <v>60</v>
      </c>
      <c r="K16" s="23">
        <f t="shared" si="27"/>
        <v>113</v>
      </c>
      <c r="L16" s="528">
        <v>36.32</v>
      </c>
      <c r="M16" s="82">
        <f t="shared" si="28"/>
        <v>89.32</v>
      </c>
      <c r="N16" s="528">
        <v>4</v>
      </c>
      <c r="O16" s="528">
        <v>89.32</v>
      </c>
      <c r="P16" s="133">
        <f t="shared" si="21"/>
        <v>1</v>
      </c>
      <c r="Q16" s="528">
        <v>32</v>
      </c>
      <c r="R16" s="528">
        <v>0</v>
      </c>
      <c r="S16" s="84">
        <v>1391087.76</v>
      </c>
      <c r="T16" s="24">
        <f t="shared" si="25"/>
        <v>2146555</v>
      </c>
      <c r="U16" s="84">
        <v>660825</v>
      </c>
      <c r="V16" s="84">
        <v>1485730</v>
      </c>
      <c r="W16" s="135">
        <f t="shared" si="22"/>
        <v>0.6921462529494935</v>
      </c>
    </row>
    <row r="17" spans="1:23">
      <c r="A17" s="15">
        <v>2008</v>
      </c>
      <c r="B17" s="528">
        <v>6.25</v>
      </c>
      <c r="C17" s="528">
        <v>0</v>
      </c>
      <c r="D17" s="23">
        <f t="shared" si="26"/>
        <v>6.25</v>
      </c>
      <c r="E17" s="82">
        <f t="shared" si="23"/>
        <v>13</v>
      </c>
      <c r="F17" s="82">
        <f t="shared" si="24"/>
        <v>13</v>
      </c>
      <c r="G17" s="85"/>
      <c r="H17" s="85"/>
      <c r="I17" s="528">
        <v>55</v>
      </c>
      <c r="J17" s="528">
        <v>40</v>
      </c>
      <c r="K17" s="23">
        <f t="shared" si="27"/>
        <v>95</v>
      </c>
      <c r="L17" s="528">
        <v>23.18</v>
      </c>
      <c r="M17" s="82">
        <f t="shared" si="28"/>
        <v>78.180000000000007</v>
      </c>
      <c r="N17" s="528">
        <v>3</v>
      </c>
      <c r="O17" s="528">
        <v>84</v>
      </c>
      <c r="P17" s="133">
        <f t="shared" si="21"/>
        <v>0.93071428571428583</v>
      </c>
      <c r="Q17" s="528">
        <v>30</v>
      </c>
      <c r="R17" s="528">
        <v>0</v>
      </c>
      <c r="S17" s="84">
        <v>1097753</v>
      </c>
      <c r="T17" s="24">
        <f t="shared" si="25"/>
        <v>2485232</v>
      </c>
      <c r="U17" s="84">
        <v>655568</v>
      </c>
      <c r="V17" s="84">
        <v>1829664</v>
      </c>
      <c r="W17" s="135">
        <f t="shared" si="22"/>
        <v>0.7362145666883414</v>
      </c>
    </row>
    <row r="18" spans="1:23">
      <c r="A18" s="15">
        <v>2007</v>
      </c>
      <c r="B18" s="528">
        <v>6.25</v>
      </c>
      <c r="C18" s="528">
        <v>1.5</v>
      </c>
      <c r="D18" s="82">
        <f t="shared" si="26"/>
        <v>7.75</v>
      </c>
      <c r="E18" s="82">
        <f t="shared" si="23"/>
        <v>9</v>
      </c>
      <c r="F18" s="82">
        <f t="shared" si="24"/>
        <v>8</v>
      </c>
      <c r="G18" s="85"/>
      <c r="H18" s="85"/>
      <c r="I18" s="528">
        <v>45</v>
      </c>
      <c r="J18" s="528">
        <v>29</v>
      </c>
      <c r="K18" s="23">
        <f t="shared" si="27"/>
        <v>74</v>
      </c>
      <c r="L18" s="528">
        <v>14.11</v>
      </c>
      <c r="M18" s="82">
        <f t="shared" si="28"/>
        <v>59.11</v>
      </c>
      <c r="N18" s="528">
        <v>5</v>
      </c>
      <c r="O18" s="528">
        <v>59</v>
      </c>
      <c r="P18" s="133">
        <f t="shared" si="21"/>
        <v>1.0018644067796609</v>
      </c>
      <c r="Q18" s="528">
        <v>25</v>
      </c>
      <c r="R18" s="528">
        <v>0</v>
      </c>
      <c r="S18" s="132">
        <v>560220</v>
      </c>
      <c r="T18" s="24">
        <f t="shared" si="25"/>
        <v>1570289</v>
      </c>
      <c r="U18" s="132">
        <v>529595</v>
      </c>
      <c r="V18" s="179">
        <v>1040694</v>
      </c>
      <c r="W18" s="135">
        <f t="shared" si="22"/>
        <v>0.66274042548855661</v>
      </c>
    </row>
    <row r="19" spans="1:23">
      <c r="A19" s="15">
        <v>2006</v>
      </c>
      <c r="B19" s="528">
        <v>3</v>
      </c>
      <c r="C19" s="528">
        <v>6</v>
      </c>
      <c r="D19" s="82">
        <f t="shared" si="26"/>
        <v>9</v>
      </c>
      <c r="E19" s="82">
        <f t="shared" si="23"/>
        <v>18</v>
      </c>
      <c r="F19" s="82">
        <f t="shared" si="24"/>
        <v>6</v>
      </c>
      <c r="G19" s="85"/>
      <c r="H19" s="85"/>
      <c r="I19" s="528">
        <v>42</v>
      </c>
      <c r="J19" s="528">
        <v>24</v>
      </c>
      <c r="K19" s="23">
        <f t="shared" si="27"/>
        <v>66</v>
      </c>
      <c r="L19" s="528">
        <v>11</v>
      </c>
      <c r="M19" s="82">
        <f t="shared" si="28"/>
        <v>53</v>
      </c>
      <c r="N19" s="528">
        <v>2</v>
      </c>
      <c r="O19" s="528">
        <v>54</v>
      </c>
      <c r="P19" s="133">
        <f t="shared" si="21"/>
        <v>0.98148148148148151</v>
      </c>
      <c r="Q19" s="528">
        <v>44</v>
      </c>
      <c r="R19" s="528">
        <v>0</v>
      </c>
      <c r="S19" s="132">
        <v>1039525</v>
      </c>
      <c r="T19" s="24">
        <f t="shared" si="25"/>
        <v>1070731</v>
      </c>
      <c r="U19" s="132">
        <v>722618</v>
      </c>
      <c r="V19" s="132">
        <v>348113</v>
      </c>
      <c r="W19" s="135">
        <f t="shared" si="22"/>
        <v>0.32511713959902161</v>
      </c>
    </row>
    <row r="20" spans="1:23">
      <c r="A20" s="15">
        <v>2005</v>
      </c>
      <c r="B20" s="528">
        <v>5</v>
      </c>
      <c r="C20" s="528">
        <v>3</v>
      </c>
      <c r="D20" s="82">
        <f t="shared" si="26"/>
        <v>8</v>
      </c>
      <c r="E20" s="82">
        <f t="shared" si="23"/>
        <v>13</v>
      </c>
      <c r="F20" s="82">
        <f t="shared" si="24"/>
        <v>8</v>
      </c>
      <c r="G20" s="85"/>
      <c r="H20" s="85"/>
      <c r="I20" s="528">
        <v>56</v>
      </c>
      <c r="J20" s="528">
        <v>24</v>
      </c>
      <c r="K20" s="23">
        <f t="shared" si="27"/>
        <v>80</v>
      </c>
      <c r="L20" s="528">
        <v>7</v>
      </c>
      <c r="M20" s="82">
        <f t="shared" si="28"/>
        <v>63</v>
      </c>
      <c r="N20" s="528">
        <v>5</v>
      </c>
      <c r="O20" s="528">
        <v>63</v>
      </c>
      <c r="P20" s="133">
        <f t="shared" si="21"/>
        <v>1</v>
      </c>
      <c r="Q20" s="528">
        <v>29</v>
      </c>
      <c r="R20" s="528">
        <v>0</v>
      </c>
      <c r="S20" s="132">
        <v>1005171</v>
      </c>
      <c r="T20" s="24">
        <f t="shared" si="25"/>
        <v>1009932</v>
      </c>
      <c r="U20" s="132">
        <v>679514</v>
      </c>
      <c r="V20" s="132">
        <v>330418</v>
      </c>
      <c r="W20" s="135">
        <f t="shared" si="22"/>
        <v>0.32716856184376769</v>
      </c>
    </row>
    <row r="21" spans="1:23">
      <c r="A21" s="15">
        <v>2004</v>
      </c>
      <c r="B21" s="528">
        <v>5</v>
      </c>
      <c r="C21" s="528">
        <v>1</v>
      </c>
      <c r="D21" s="82">
        <f t="shared" si="26"/>
        <v>6</v>
      </c>
      <c r="E21" s="82">
        <f t="shared" si="23"/>
        <v>12</v>
      </c>
      <c r="F21" s="82">
        <f t="shared" si="24"/>
        <v>10</v>
      </c>
      <c r="G21" s="85"/>
      <c r="H21" s="85"/>
      <c r="I21" s="528">
        <v>43</v>
      </c>
      <c r="J21" s="528">
        <v>41</v>
      </c>
      <c r="K21" s="23">
        <f t="shared" si="27"/>
        <v>84</v>
      </c>
      <c r="L21" s="131">
        <v>16.18</v>
      </c>
      <c r="M21" s="82">
        <f t="shared" si="28"/>
        <v>59.18</v>
      </c>
      <c r="N21" s="528">
        <v>5</v>
      </c>
      <c r="O21" s="147">
        <v>59.18</v>
      </c>
      <c r="P21" s="133">
        <f t="shared" si="21"/>
        <v>1</v>
      </c>
      <c r="Q21" s="528">
        <v>29</v>
      </c>
      <c r="R21" s="528">
        <v>0</v>
      </c>
      <c r="S21" s="132">
        <v>854056</v>
      </c>
      <c r="T21" s="24">
        <f t="shared" si="25"/>
        <v>845722</v>
      </c>
      <c r="U21" s="132">
        <v>765831</v>
      </c>
      <c r="V21" s="132">
        <v>79891</v>
      </c>
      <c r="W21" s="135">
        <f t="shared" si="22"/>
        <v>9.44648477868614E-2</v>
      </c>
    </row>
    <row r="22" spans="1:23">
      <c r="A22" s="15">
        <v>2003</v>
      </c>
      <c r="B22" s="528">
        <v>6</v>
      </c>
      <c r="C22" s="528">
        <v>1</v>
      </c>
      <c r="D22" s="23">
        <f t="shared" si="26"/>
        <v>7</v>
      </c>
      <c r="E22" s="82">
        <f t="shared" si="23"/>
        <v>9</v>
      </c>
      <c r="F22" s="82">
        <f t="shared" si="24"/>
        <v>8</v>
      </c>
      <c r="G22" s="85"/>
      <c r="H22" s="85"/>
      <c r="I22" s="528">
        <v>30</v>
      </c>
      <c r="J22" s="528">
        <v>60</v>
      </c>
      <c r="K22" s="23">
        <f t="shared" si="27"/>
        <v>90</v>
      </c>
      <c r="L22" s="528">
        <f>ROUND(24.66, 0)</f>
        <v>25</v>
      </c>
      <c r="M22" s="82">
        <f t="shared" si="28"/>
        <v>55</v>
      </c>
      <c r="N22" s="528">
        <v>2</v>
      </c>
      <c r="O22" s="528">
        <f>ROUND(54.66, 0)</f>
        <v>55</v>
      </c>
      <c r="P22" s="133">
        <f t="shared" si="21"/>
        <v>1</v>
      </c>
      <c r="Q22" s="528">
        <v>40</v>
      </c>
      <c r="R22" s="528">
        <v>0</v>
      </c>
      <c r="S22" s="132">
        <v>893126</v>
      </c>
      <c r="T22" s="24">
        <f t="shared" si="25"/>
        <v>903179</v>
      </c>
      <c r="U22" s="132">
        <v>799872</v>
      </c>
      <c r="V22" s="132">
        <v>103307</v>
      </c>
      <c r="W22" s="135">
        <f t="shared" si="22"/>
        <v>0.11438153455738009</v>
      </c>
    </row>
    <row r="23" spans="1:23">
      <c r="A23" s="15">
        <v>2002</v>
      </c>
      <c r="B23" s="528">
        <v>6</v>
      </c>
      <c r="C23" s="528">
        <f>ROUND(2.33, 0)</f>
        <v>2</v>
      </c>
      <c r="D23" s="23">
        <f t="shared" si="26"/>
        <v>8</v>
      </c>
      <c r="E23" s="82">
        <f t="shared" si="23"/>
        <v>10</v>
      </c>
      <c r="F23" s="82">
        <f t="shared" si="24"/>
        <v>7</v>
      </c>
      <c r="G23" s="85"/>
      <c r="H23" s="85"/>
      <c r="I23" s="528">
        <v>32</v>
      </c>
      <c r="J23" s="528">
        <v>53</v>
      </c>
      <c r="K23" s="23">
        <f t="shared" si="27"/>
        <v>85</v>
      </c>
      <c r="L23" s="528">
        <f>ROUND(27, 0)</f>
        <v>27</v>
      </c>
      <c r="M23" s="82">
        <f t="shared" si="28"/>
        <v>59</v>
      </c>
      <c r="N23" s="528">
        <v>6</v>
      </c>
      <c r="O23" s="528">
        <v>59</v>
      </c>
      <c r="P23" s="133">
        <f t="shared" si="21"/>
        <v>1</v>
      </c>
      <c r="Q23" s="528">
        <v>34</v>
      </c>
      <c r="R23" s="528">
        <v>0</v>
      </c>
      <c r="S23" s="132">
        <v>708376</v>
      </c>
      <c r="T23" s="24">
        <f t="shared" si="25"/>
        <v>713475</v>
      </c>
      <c r="U23" s="132">
        <v>643306</v>
      </c>
      <c r="V23" s="132">
        <v>70169</v>
      </c>
      <c r="W23" s="135">
        <f t="shared" si="22"/>
        <v>9.8348225235642447E-2</v>
      </c>
    </row>
    <row r="24" spans="1:23" s="12" customFormat="1" ht="13.5" customHeight="1"/>
    <row r="25" spans="1:23" s="12" customFormat="1"/>
    <row r="26" spans="1:23" s="12" customFormat="1"/>
    <row r="27" spans="1:23" s="12" customFormat="1"/>
    <row r="28" spans="1:23" s="12" customFormat="1"/>
    <row r="29" spans="1:23" s="12" customFormat="1"/>
    <row r="30" spans="1:23" s="12" customFormat="1"/>
    <row r="31" spans="1:23" s="12" customFormat="1"/>
    <row r="32" spans="1:23" s="12" customFormat="1"/>
    <row r="33" s="12" customFormat="1"/>
    <row r="34" s="12" customFormat="1"/>
  </sheetData>
  <printOptions headings="1" gridLines="1"/>
  <pageMargins left="0.5" right="0.5" top="0.5" bottom="0.5" header="0" footer="0"/>
  <pageSetup paperSize="5" scale="67" orientation="landscape"/>
  <legacyDrawing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L33"/>
  <sheetViews>
    <sheetView workbookViewId="0">
      <selection activeCell="K24" sqref="K24"/>
    </sheetView>
  </sheetViews>
  <sheetFormatPr defaultColWidth="8.85546875" defaultRowHeight="15"/>
  <cols>
    <col min="1" max="1" width="11.710937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3"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0.85546875" bestFit="1" customWidth="1"/>
    <col min="23" max="23" width="12.85546875" bestFit="1" customWidth="1"/>
  </cols>
  <sheetData>
    <row r="1" spans="1:220" s="1" customFormat="1" ht="18.75">
      <c r="A1" s="1" t="s">
        <v>97</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14" customFormat="1">
      <c r="A3" s="10">
        <v>2022</v>
      </c>
      <c r="B3" s="17">
        <v>15</v>
      </c>
      <c r="C3" s="17">
        <v>14.83</v>
      </c>
      <c r="D3" s="23">
        <f t="shared" ref="D3" si="0">SUM(B3:C3)</f>
        <v>29.83</v>
      </c>
      <c r="E3" s="82">
        <f t="shared" ref="E3" si="1">ROUND((O3/B3), 0)</f>
        <v>30</v>
      </c>
      <c r="F3" s="82">
        <f t="shared" ref="F3" si="2">ROUND((O3/D3), 0)</f>
        <v>15</v>
      </c>
      <c r="G3" s="17">
        <v>14</v>
      </c>
      <c r="H3" s="17">
        <v>7.33</v>
      </c>
      <c r="I3" s="17">
        <v>126</v>
      </c>
      <c r="J3" s="17">
        <v>290</v>
      </c>
      <c r="K3" s="23">
        <f t="shared" ref="K3" si="3">SUM(I3:J3)</f>
        <v>416</v>
      </c>
      <c r="L3" s="17">
        <v>181.26</v>
      </c>
      <c r="M3" s="82">
        <f t="shared" ref="M3" si="4">(I3+L3)</f>
        <v>307.26</v>
      </c>
      <c r="N3" s="17">
        <v>58</v>
      </c>
      <c r="O3" s="17">
        <v>446.51</v>
      </c>
      <c r="P3" s="133">
        <f t="shared" ref="P3" si="5">M3/O3</f>
        <v>0.68813688383238891</v>
      </c>
      <c r="Q3" s="17">
        <v>146</v>
      </c>
      <c r="R3" s="17">
        <v>70</v>
      </c>
      <c r="S3" s="20">
        <v>9297825</v>
      </c>
      <c r="T3" s="24">
        <f>SUM(U3:V3)</f>
        <v>10566056</v>
      </c>
      <c r="U3" s="20">
        <v>6990923</v>
      </c>
      <c r="V3" s="20">
        <v>3575133</v>
      </c>
      <c r="W3" s="135">
        <f t="shared" ref="W3" si="6">V3/T3</f>
        <v>0.33836021690591078</v>
      </c>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row>
    <row r="4" spans="1:220" s="14" customFormat="1">
      <c r="A4" s="10">
        <v>2021</v>
      </c>
      <c r="B4" s="17">
        <v>17.5</v>
      </c>
      <c r="C4" s="17">
        <v>14.2</v>
      </c>
      <c r="D4" s="23">
        <f>SUM(B4:C4)</f>
        <v>31.7</v>
      </c>
      <c r="E4" s="82">
        <f t="shared" ref="E4" si="7">ROUND((O4/B4), 0)</f>
        <v>24</v>
      </c>
      <c r="F4" s="82">
        <f t="shared" ref="F4" si="8">ROUND((O4/D4), 0)</f>
        <v>13</v>
      </c>
      <c r="G4" s="17">
        <v>13</v>
      </c>
      <c r="H4" s="17">
        <v>11.5</v>
      </c>
      <c r="I4" s="17">
        <v>112</v>
      </c>
      <c r="J4" s="17">
        <v>273</v>
      </c>
      <c r="K4" s="23">
        <f t="shared" ref="K4" si="9">SUM(I4:J4)</f>
        <v>385</v>
      </c>
      <c r="L4" s="17">
        <v>176</v>
      </c>
      <c r="M4" s="82">
        <f>(I4+L4)</f>
        <v>288</v>
      </c>
      <c r="N4" s="17">
        <v>58</v>
      </c>
      <c r="O4" s="17">
        <v>426</v>
      </c>
      <c r="P4" s="133">
        <f t="shared" ref="P4" si="10">M4/O4</f>
        <v>0.676056338028169</v>
      </c>
      <c r="Q4" s="17">
        <v>178</v>
      </c>
      <c r="R4" s="17">
        <v>88</v>
      </c>
      <c r="S4" s="20">
        <v>9170260</v>
      </c>
      <c r="T4" s="24">
        <f>SUM(U4:V4)</f>
        <v>10772488</v>
      </c>
      <c r="U4" s="20">
        <v>7127507</v>
      </c>
      <c r="V4" s="20">
        <v>3644981</v>
      </c>
      <c r="W4" s="135">
        <f t="shared" ref="W4" si="11">V4/T4</f>
        <v>0.33836018197467477</v>
      </c>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row>
    <row r="5" spans="1:220" s="14" customFormat="1">
      <c r="A5" s="10">
        <v>2020</v>
      </c>
      <c r="B5" s="17">
        <v>18</v>
      </c>
      <c r="C5" s="17">
        <v>9.8000000000000007</v>
      </c>
      <c r="D5" s="23">
        <f>SUM(B5:C5)</f>
        <v>27.8</v>
      </c>
      <c r="E5" s="82">
        <f>ROUND((O5/B5), 0)</f>
        <v>26</v>
      </c>
      <c r="F5" s="82">
        <f>ROUND((O5/D5), 0)</f>
        <v>17</v>
      </c>
      <c r="G5" s="17">
        <v>12</v>
      </c>
      <c r="H5" s="17">
        <v>6.2</v>
      </c>
      <c r="I5" s="17">
        <v>160</v>
      </c>
      <c r="J5" s="17">
        <v>276</v>
      </c>
      <c r="K5" s="23">
        <f t="shared" ref="K5" si="12">SUM(I5:J5)</f>
        <v>436</v>
      </c>
      <c r="L5" s="17">
        <v>176</v>
      </c>
      <c r="M5" s="82">
        <f>(I5+L5)</f>
        <v>336</v>
      </c>
      <c r="N5" s="17">
        <v>48</v>
      </c>
      <c r="O5" s="17">
        <v>468</v>
      </c>
      <c r="P5" s="133">
        <f t="shared" ref="P5" si="13">M5/O5</f>
        <v>0.71794871794871795</v>
      </c>
      <c r="Q5" s="17">
        <v>181</v>
      </c>
      <c r="R5" s="17">
        <v>58</v>
      </c>
      <c r="S5" s="20">
        <v>9930307</v>
      </c>
      <c r="T5" s="24">
        <v>10796831</v>
      </c>
      <c r="U5" s="20">
        <v>7135984</v>
      </c>
      <c r="V5" s="20">
        <v>3660847</v>
      </c>
      <c r="W5" s="135">
        <f t="shared" ref="W5" si="14">V5/T5</f>
        <v>0.33906680580625925</v>
      </c>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row>
    <row r="6" spans="1:220" s="14" customFormat="1">
      <c r="A6" s="10">
        <v>2019</v>
      </c>
      <c r="B6" s="17">
        <v>18</v>
      </c>
      <c r="C6" s="17">
        <v>15</v>
      </c>
      <c r="D6" s="23">
        <f>SUM(B6:C6)</f>
        <v>33</v>
      </c>
      <c r="E6" s="82">
        <f>ROUND((O6/B6), 0)</f>
        <v>26</v>
      </c>
      <c r="F6" s="82">
        <f>ROUND((O6/D6), 0)</f>
        <v>14</v>
      </c>
      <c r="G6" s="17">
        <v>13</v>
      </c>
      <c r="H6" s="17">
        <v>11</v>
      </c>
      <c r="I6" s="17">
        <v>150</v>
      </c>
      <c r="J6" s="17">
        <v>305</v>
      </c>
      <c r="K6" s="23">
        <f>SUM(I6:J6)</f>
        <v>455</v>
      </c>
      <c r="L6" s="17">
        <v>191</v>
      </c>
      <c r="M6" s="82">
        <f>(I6+L6)</f>
        <v>341</v>
      </c>
      <c r="N6" s="17">
        <v>39</v>
      </c>
      <c r="O6" s="17">
        <v>470.5</v>
      </c>
      <c r="P6" s="133">
        <f>M6/O6</f>
        <v>0.72476089266737509</v>
      </c>
      <c r="Q6" s="17">
        <v>156</v>
      </c>
      <c r="R6" s="17">
        <v>52</v>
      </c>
      <c r="S6" s="20">
        <v>10585413</v>
      </c>
      <c r="T6" s="24">
        <v>11278114</v>
      </c>
      <c r="U6" s="20">
        <v>7456050</v>
      </c>
      <c r="V6" s="20">
        <v>3822064</v>
      </c>
      <c r="W6" s="135">
        <f>V6/T6</f>
        <v>0.33889212327522139</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18</v>
      </c>
      <c r="C7" s="17">
        <v>6.67</v>
      </c>
      <c r="D7" s="23">
        <f>SUM(B7:C7)</f>
        <v>24.67</v>
      </c>
      <c r="E7" s="82">
        <f>ROUND((O7/B7), 0)</f>
        <v>16</v>
      </c>
      <c r="F7" s="82">
        <f>ROUND((O7/D7), 0)</f>
        <v>12</v>
      </c>
      <c r="G7" s="17">
        <v>13</v>
      </c>
      <c r="H7" s="17">
        <v>4.67</v>
      </c>
      <c r="I7" s="17">
        <v>160</v>
      </c>
      <c r="J7" s="17">
        <v>318</v>
      </c>
      <c r="K7" s="23">
        <f t="shared" ref="K7" si="15">SUM(I7:J7)</f>
        <v>478</v>
      </c>
      <c r="L7" s="17">
        <v>104.83199999999999</v>
      </c>
      <c r="M7" s="82">
        <f>(I7+L7)</f>
        <v>264.83199999999999</v>
      </c>
      <c r="N7" s="17">
        <v>40</v>
      </c>
      <c r="O7" s="17">
        <v>284.98200000000003</v>
      </c>
      <c r="P7" s="133">
        <f>M7/O7</f>
        <v>0.92929377995803231</v>
      </c>
      <c r="Q7" s="17">
        <v>198</v>
      </c>
      <c r="R7" s="17">
        <v>83</v>
      </c>
      <c r="S7" s="20">
        <v>11057338</v>
      </c>
      <c r="T7" s="24">
        <f>SUM(U7:V7)</f>
        <v>9941516</v>
      </c>
      <c r="U7" s="20">
        <v>6077275</v>
      </c>
      <c r="V7" s="20">
        <v>3864241</v>
      </c>
      <c r="W7" s="135">
        <f>V7/T7</f>
        <v>0.38869735762634189</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22</v>
      </c>
      <c r="C8" s="17">
        <v>9</v>
      </c>
      <c r="D8" s="27">
        <f>SUM(B8:C8)</f>
        <v>31</v>
      </c>
      <c r="E8" s="27">
        <f>ROUND((O8/B8), 0)</f>
        <v>14</v>
      </c>
      <c r="F8" s="27">
        <f>ROUND((O8/D8), 0)</f>
        <v>10</v>
      </c>
      <c r="G8" s="17">
        <v>16</v>
      </c>
      <c r="H8" s="17">
        <v>6.08</v>
      </c>
      <c r="I8" s="17">
        <v>159</v>
      </c>
      <c r="J8" s="17">
        <v>372</v>
      </c>
      <c r="K8" s="27">
        <f>SUM(I8:J8)</f>
        <v>531</v>
      </c>
      <c r="L8" s="17">
        <v>121.771</v>
      </c>
      <c r="M8" s="29">
        <f>(I8+L8)</f>
        <v>280.77100000000002</v>
      </c>
      <c r="N8" s="255">
        <v>21</v>
      </c>
      <c r="O8" s="255">
        <v>312.21899999999999</v>
      </c>
      <c r="P8" s="133">
        <f t="shared" ref="P8:P23" si="16">M8/O8</f>
        <v>0.89927582882527979</v>
      </c>
      <c r="Q8" s="17">
        <v>216</v>
      </c>
      <c r="R8" s="17">
        <v>105</v>
      </c>
      <c r="S8" s="223">
        <v>11313714</v>
      </c>
      <c r="T8" s="28">
        <f>SUM(U8:V8)</f>
        <v>11297128</v>
      </c>
      <c r="U8" s="252">
        <v>5425896</v>
      </c>
      <c r="V8" s="20">
        <v>5871232</v>
      </c>
      <c r="W8" s="135">
        <f t="shared" ref="W8:W23" si="17">V8/T8</f>
        <v>0.51971014225916534</v>
      </c>
    </row>
    <row r="9" spans="1:220" s="9" customFormat="1">
      <c r="A9" s="10">
        <v>2016</v>
      </c>
      <c r="B9" s="54">
        <v>21</v>
      </c>
      <c r="C9" s="54">
        <v>7.6</v>
      </c>
      <c r="D9" s="65">
        <f>B9+C9</f>
        <v>28.6</v>
      </c>
      <c r="E9" s="13">
        <f>ROUND((O9/B9), 0)</f>
        <v>19</v>
      </c>
      <c r="F9" s="13">
        <f>ROUND((O9/D9), 0)</f>
        <v>14</v>
      </c>
      <c r="G9" s="54">
        <v>15</v>
      </c>
      <c r="H9" s="54">
        <v>3.4</v>
      </c>
      <c r="I9" s="54">
        <v>158</v>
      </c>
      <c r="J9" s="54">
        <v>428</v>
      </c>
      <c r="K9" s="65">
        <f>I9+J9</f>
        <v>586</v>
      </c>
      <c r="L9" s="54">
        <v>140.30000000000001</v>
      </c>
      <c r="M9" s="82">
        <f>I9+L9</f>
        <v>298.3</v>
      </c>
      <c r="N9" s="54">
        <v>69</v>
      </c>
      <c r="O9" s="54">
        <v>399</v>
      </c>
      <c r="P9" s="133">
        <f t="shared" si="16"/>
        <v>0.74761904761904763</v>
      </c>
      <c r="Q9" s="54">
        <v>231</v>
      </c>
      <c r="R9" s="54">
        <v>65</v>
      </c>
      <c r="S9" s="55">
        <v>9492870</v>
      </c>
      <c r="T9" s="24">
        <f>SUM(U9:V9)</f>
        <v>10883951</v>
      </c>
      <c r="U9" s="55">
        <v>6209248</v>
      </c>
      <c r="V9" s="55">
        <v>4674703</v>
      </c>
      <c r="W9" s="135">
        <f t="shared" si="17"/>
        <v>0.42950423058685216</v>
      </c>
    </row>
    <row r="10" spans="1:220" s="16" customFormat="1">
      <c r="A10" s="15">
        <v>2015</v>
      </c>
      <c r="B10" s="70">
        <v>15</v>
      </c>
      <c r="C10" s="70">
        <v>10.7</v>
      </c>
      <c r="D10" s="65">
        <v>25.7</v>
      </c>
      <c r="E10" s="65">
        <v>29</v>
      </c>
      <c r="F10" s="65">
        <v>17</v>
      </c>
      <c r="G10" s="83"/>
      <c r="H10" s="83"/>
      <c r="I10" s="127">
        <v>190</v>
      </c>
      <c r="J10" s="127">
        <v>429</v>
      </c>
      <c r="K10" s="128">
        <v>619</v>
      </c>
      <c r="L10" s="127">
        <v>147</v>
      </c>
      <c r="M10" s="128">
        <v>337</v>
      </c>
      <c r="N10" s="70">
        <v>49</v>
      </c>
      <c r="O10" s="70">
        <v>437</v>
      </c>
      <c r="P10" s="133">
        <f t="shared" si="16"/>
        <v>0.77116704805491987</v>
      </c>
      <c r="Q10" s="70">
        <v>334</v>
      </c>
      <c r="R10" s="70">
        <v>135</v>
      </c>
      <c r="S10" s="78">
        <v>5342115</v>
      </c>
      <c r="T10" s="79">
        <v>10057281</v>
      </c>
      <c r="U10" s="78">
        <v>5951049</v>
      </c>
      <c r="V10" s="78">
        <v>4106232</v>
      </c>
      <c r="W10" s="135">
        <f t="shared" si="17"/>
        <v>0.40828450552390849</v>
      </c>
    </row>
    <row r="11" spans="1:220" s="16" customFormat="1">
      <c r="A11" s="15">
        <v>2014</v>
      </c>
      <c r="B11" s="70">
        <v>22</v>
      </c>
      <c r="C11" s="70">
        <v>6.4</v>
      </c>
      <c r="D11" s="65">
        <f>B11+C11</f>
        <v>28.4</v>
      </c>
      <c r="E11" s="13">
        <f t="shared" ref="E11:E23" si="18">ROUND((O11/B11), 0)</f>
        <v>29</v>
      </c>
      <c r="F11" s="13">
        <f t="shared" ref="F11:F23" si="19">ROUND((O11/D11), 0)</f>
        <v>22</v>
      </c>
      <c r="G11" s="83"/>
      <c r="H11" s="83"/>
      <c r="I11" s="70">
        <v>232</v>
      </c>
      <c r="J11" s="70">
        <v>396</v>
      </c>
      <c r="K11" s="65">
        <f>I11+J11</f>
        <v>628</v>
      </c>
      <c r="L11" s="70">
        <v>254.7</v>
      </c>
      <c r="M11" s="13">
        <v>471.5</v>
      </c>
      <c r="N11" s="70">
        <v>52</v>
      </c>
      <c r="O11" s="70">
        <v>628</v>
      </c>
      <c r="P11" s="133">
        <f t="shared" si="16"/>
        <v>0.75079617834394907</v>
      </c>
      <c r="Q11" s="70">
        <v>219</v>
      </c>
      <c r="R11" s="70">
        <v>39</v>
      </c>
      <c r="S11" s="71">
        <v>9465538</v>
      </c>
      <c r="T11" s="68">
        <f t="shared" ref="T11:T23" si="20">SUM(U11:V11)</f>
        <v>9226237</v>
      </c>
      <c r="U11" s="71">
        <v>5610404</v>
      </c>
      <c r="V11" s="71">
        <v>3615833</v>
      </c>
      <c r="W11" s="135">
        <f t="shared" si="17"/>
        <v>0.39190766506431601</v>
      </c>
    </row>
    <row r="12" spans="1:220">
      <c r="A12" s="15">
        <v>2013</v>
      </c>
      <c r="B12" s="528">
        <v>23</v>
      </c>
      <c r="C12" s="528">
        <v>8.5</v>
      </c>
      <c r="D12" s="23">
        <f>B12+C12</f>
        <v>31.5</v>
      </c>
      <c r="E12" s="82">
        <f t="shared" si="18"/>
        <v>21</v>
      </c>
      <c r="F12" s="82">
        <f t="shared" si="19"/>
        <v>15</v>
      </c>
      <c r="G12" s="85"/>
      <c r="H12" s="85"/>
      <c r="I12" s="528">
        <v>223</v>
      </c>
      <c r="J12" s="528">
        <v>390</v>
      </c>
      <c r="K12" s="23">
        <f>I12+J12</f>
        <v>613</v>
      </c>
      <c r="L12" s="528">
        <v>248.5</v>
      </c>
      <c r="M12" s="82">
        <v>471.5</v>
      </c>
      <c r="N12" s="528">
        <v>51</v>
      </c>
      <c r="O12" s="528">
        <v>484.5</v>
      </c>
      <c r="P12" s="133">
        <f t="shared" si="16"/>
        <v>0.97316821465428271</v>
      </c>
      <c r="Q12" s="528">
        <v>225</v>
      </c>
      <c r="R12" s="528">
        <v>0</v>
      </c>
      <c r="S12" s="84">
        <v>8524416</v>
      </c>
      <c r="T12" s="24">
        <f t="shared" si="20"/>
        <v>8726977</v>
      </c>
      <c r="U12" s="84">
        <v>5110994</v>
      </c>
      <c r="V12" s="84">
        <v>3615983</v>
      </c>
      <c r="W12" s="135">
        <f t="shared" si="17"/>
        <v>0.41434542568405991</v>
      </c>
    </row>
    <row r="13" spans="1:220">
      <c r="A13" s="15">
        <v>2012</v>
      </c>
      <c r="B13" s="528">
        <v>18</v>
      </c>
      <c r="C13" s="528">
        <v>7</v>
      </c>
      <c r="D13" s="23">
        <f>B13+C13</f>
        <v>25</v>
      </c>
      <c r="E13" s="82">
        <f t="shared" si="18"/>
        <v>24</v>
      </c>
      <c r="F13" s="82">
        <f t="shared" si="19"/>
        <v>17</v>
      </c>
      <c r="G13" s="85"/>
      <c r="H13" s="85"/>
      <c r="I13" s="528">
        <v>201</v>
      </c>
      <c r="J13" s="528">
        <v>345</v>
      </c>
      <c r="K13" s="23">
        <f>I13+J13</f>
        <v>546</v>
      </c>
      <c r="L13" s="528">
        <v>214.2</v>
      </c>
      <c r="M13" s="82">
        <f>I13+L13</f>
        <v>415.2</v>
      </c>
      <c r="N13" s="528">
        <v>29</v>
      </c>
      <c r="O13" s="528">
        <v>434.6</v>
      </c>
      <c r="P13" s="133">
        <f t="shared" si="16"/>
        <v>0.95536125172572472</v>
      </c>
      <c r="Q13" s="528">
        <v>239</v>
      </c>
      <c r="R13" s="528">
        <v>2</v>
      </c>
      <c r="S13" s="84">
        <v>7591700</v>
      </c>
      <c r="T13" s="24">
        <f t="shared" si="20"/>
        <v>7998896</v>
      </c>
      <c r="U13" s="84">
        <v>4166893</v>
      </c>
      <c r="V13" s="84">
        <v>3832003</v>
      </c>
      <c r="W13" s="135">
        <f t="shared" si="17"/>
        <v>0.47906648617509218</v>
      </c>
    </row>
    <row r="14" spans="1:220">
      <c r="A14" s="15" t="s">
        <v>26</v>
      </c>
      <c r="B14" s="528">
        <v>19</v>
      </c>
      <c r="C14" s="528">
        <v>5</v>
      </c>
      <c r="D14" s="23">
        <f t="shared" ref="D14:D23" si="21">SUM(B14:C14)</f>
        <v>24</v>
      </c>
      <c r="E14" s="82">
        <f t="shared" si="18"/>
        <v>25</v>
      </c>
      <c r="F14" s="82">
        <f t="shared" si="19"/>
        <v>20</v>
      </c>
      <c r="G14" s="85"/>
      <c r="H14" s="85"/>
      <c r="I14" s="528">
        <v>221</v>
      </c>
      <c r="J14" s="528">
        <v>378</v>
      </c>
      <c r="K14" s="23">
        <f t="shared" ref="K14:K23" si="22">SUM(I14:J14)</f>
        <v>599</v>
      </c>
      <c r="L14" s="528">
        <v>232.7</v>
      </c>
      <c r="M14" s="82">
        <f t="shared" ref="M14:M23" si="23">(I14+L14)</f>
        <v>453.7</v>
      </c>
      <c r="N14" s="528">
        <v>44</v>
      </c>
      <c r="O14" s="528">
        <v>476.30000000000007</v>
      </c>
      <c r="P14" s="133">
        <f t="shared" si="16"/>
        <v>0.95255091328994312</v>
      </c>
      <c r="Q14" s="528">
        <v>256</v>
      </c>
      <c r="R14" s="528">
        <v>1</v>
      </c>
      <c r="S14" s="84">
        <v>3512657</v>
      </c>
      <c r="T14" s="24">
        <f t="shared" si="20"/>
        <v>4030478</v>
      </c>
      <c r="U14" s="84">
        <v>3984616</v>
      </c>
      <c r="V14" s="84">
        <v>45862</v>
      </c>
      <c r="W14" s="135">
        <f t="shared" si="17"/>
        <v>1.1378799239196939E-2</v>
      </c>
    </row>
    <row r="15" spans="1:220">
      <c r="A15" s="15" t="s">
        <v>27</v>
      </c>
      <c r="B15" s="528">
        <v>18</v>
      </c>
      <c r="C15" s="528">
        <v>5.75</v>
      </c>
      <c r="D15" s="23">
        <f t="shared" si="21"/>
        <v>23.75</v>
      </c>
      <c r="E15" s="82">
        <f t="shared" si="18"/>
        <v>27</v>
      </c>
      <c r="F15" s="82">
        <f t="shared" si="19"/>
        <v>20</v>
      </c>
      <c r="G15" s="85"/>
      <c r="H15" s="85"/>
      <c r="I15" s="528">
        <v>228</v>
      </c>
      <c r="J15" s="528">
        <v>400</v>
      </c>
      <c r="K15" s="23">
        <f t="shared" si="22"/>
        <v>628</v>
      </c>
      <c r="L15" s="528">
        <v>242</v>
      </c>
      <c r="M15" s="82">
        <f t="shared" si="23"/>
        <v>470</v>
      </c>
      <c r="N15" s="528">
        <v>43</v>
      </c>
      <c r="O15" s="528">
        <v>483.26</v>
      </c>
      <c r="P15" s="133">
        <f t="shared" si="16"/>
        <v>0.9725613541364897</v>
      </c>
      <c r="Q15" s="528">
        <v>273</v>
      </c>
      <c r="R15" s="528">
        <v>1</v>
      </c>
      <c r="S15" s="84">
        <v>3339317.61</v>
      </c>
      <c r="T15" s="24">
        <f t="shared" si="20"/>
        <v>4684774</v>
      </c>
      <c r="U15" s="84">
        <v>3597913</v>
      </c>
      <c r="V15" s="84">
        <v>1086861</v>
      </c>
      <c r="W15" s="135">
        <f t="shared" si="17"/>
        <v>0.23199859801134484</v>
      </c>
    </row>
    <row r="16" spans="1:220">
      <c r="A16" s="15" t="s">
        <v>28</v>
      </c>
      <c r="B16" s="528">
        <v>13</v>
      </c>
      <c r="C16" s="528">
        <v>5.25</v>
      </c>
      <c r="D16" s="23">
        <f t="shared" si="21"/>
        <v>18.25</v>
      </c>
      <c r="E16" s="82">
        <f t="shared" si="18"/>
        <v>42</v>
      </c>
      <c r="F16" s="82">
        <f t="shared" si="19"/>
        <v>30</v>
      </c>
      <c r="G16" s="85"/>
      <c r="H16" s="85"/>
      <c r="I16" s="528">
        <v>270</v>
      </c>
      <c r="J16" s="528">
        <v>408</v>
      </c>
      <c r="K16" s="23">
        <f t="shared" si="22"/>
        <v>678</v>
      </c>
      <c r="L16" s="528">
        <v>254.3</v>
      </c>
      <c r="M16" s="82">
        <f t="shared" si="23"/>
        <v>524.29999999999995</v>
      </c>
      <c r="N16" s="528">
        <v>48</v>
      </c>
      <c r="O16" s="528">
        <v>540.9</v>
      </c>
      <c r="P16" s="133">
        <f t="shared" si="16"/>
        <v>0.96931040857829542</v>
      </c>
      <c r="Q16" s="528">
        <v>246</v>
      </c>
      <c r="R16" s="528">
        <v>0</v>
      </c>
      <c r="S16" s="84">
        <v>3779612</v>
      </c>
      <c r="T16" s="24">
        <f t="shared" si="20"/>
        <v>5697544</v>
      </c>
      <c r="U16" s="84">
        <v>3186145</v>
      </c>
      <c r="V16" s="84">
        <v>2511399</v>
      </c>
      <c r="W16" s="135">
        <f t="shared" si="17"/>
        <v>0.44078624052749749</v>
      </c>
    </row>
    <row r="17" spans="1:24">
      <c r="A17" s="15" t="s">
        <v>29</v>
      </c>
      <c r="B17" s="528">
        <v>15</v>
      </c>
      <c r="C17" s="528">
        <v>0.25</v>
      </c>
      <c r="D17" s="23">
        <f t="shared" si="21"/>
        <v>15.25</v>
      </c>
      <c r="E17" s="82">
        <f t="shared" si="18"/>
        <v>36</v>
      </c>
      <c r="F17" s="82">
        <f t="shared" si="19"/>
        <v>35</v>
      </c>
      <c r="G17" s="85"/>
      <c r="H17" s="85"/>
      <c r="I17" s="528">
        <v>246</v>
      </c>
      <c r="J17" s="528">
        <v>438</v>
      </c>
      <c r="K17" s="23">
        <f t="shared" si="22"/>
        <v>684</v>
      </c>
      <c r="L17" s="528">
        <v>281</v>
      </c>
      <c r="M17" s="82">
        <f t="shared" si="23"/>
        <v>527</v>
      </c>
      <c r="N17" s="528">
        <v>44</v>
      </c>
      <c r="O17" s="528">
        <v>537</v>
      </c>
      <c r="P17" s="133">
        <f t="shared" si="16"/>
        <v>0.98137802607076352</v>
      </c>
      <c r="Q17" s="528">
        <v>240</v>
      </c>
      <c r="R17" s="528">
        <v>0</v>
      </c>
      <c r="S17" s="84">
        <v>3247642</v>
      </c>
      <c r="T17" s="24">
        <f t="shared" si="20"/>
        <v>4863065</v>
      </c>
      <c r="U17" s="84">
        <v>2153221</v>
      </c>
      <c r="V17" s="84">
        <v>2709844</v>
      </c>
      <c r="W17" s="135">
        <f t="shared" si="17"/>
        <v>0.55722964838018818</v>
      </c>
    </row>
    <row r="18" spans="1:24" s="93" customFormat="1">
      <c r="A18" s="10">
        <v>2007</v>
      </c>
      <c r="B18" s="527">
        <v>15</v>
      </c>
      <c r="C18" s="54">
        <v>1.6</v>
      </c>
      <c r="D18" s="23">
        <f t="shared" si="21"/>
        <v>16.600000000000001</v>
      </c>
      <c r="E18" s="82">
        <f t="shared" si="18"/>
        <v>30</v>
      </c>
      <c r="F18" s="82">
        <f t="shared" si="19"/>
        <v>28</v>
      </c>
      <c r="G18" s="85"/>
      <c r="H18" s="85"/>
      <c r="I18" s="527">
        <v>214</v>
      </c>
      <c r="J18" s="527">
        <v>378</v>
      </c>
      <c r="K18" s="23">
        <f t="shared" si="22"/>
        <v>592</v>
      </c>
      <c r="L18" s="527">
        <v>243.1</v>
      </c>
      <c r="M18" s="82">
        <f t="shared" si="23"/>
        <v>457.1</v>
      </c>
      <c r="N18" s="527">
        <v>30</v>
      </c>
      <c r="O18" s="527">
        <v>457</v>
      </c>
      <c r="P18" s="133">
        <f t="shared" si="16"/>
        <v>1.0002188183807441</v>
      </c>
      <c r="Q18" s="527">
        <v>291</v>
      </c>
      <c r="R18" s="527">
        <v>0</v>
      </c>
      <c r="S18" s="76">
        <v>2682675</v>
      </c>
      <c r="T18" s="24">
        <f t="shared" si="20"/>
        <v>5961607</v>
      </c>
      <c r="U18" s="76">
        <v>2683998</v>
      </c>
      <c r="V18" s="76">
        <v>3277609</v>
      </c>
      <c r="W18" s="135">
        <f t="shared" si="17"/>
        <v>0.5497861566520571</v>
      </c>
      <c r="X18" s="281"/>
    </row>
    <row r="19" spans="1:24" s="93" customFormat="1">
      <c r="A19" s="10">
        <v>2006</v>
      </c>
      <c r="B19" s="527">
        <v>15</v>
      </c>
      <c r="C19" s="527">
        <v>5</v>
      </c>
      <c r="D19" s="23">
        <f t="shared" si="21"/>
        <v>20</v>
      </c>
      <c r="E19" s="82">
        <f t="shared" si="18"/>
        <v>32</v>
      </c>
      <c r="F19" s="82">
        <f t="shared" si="19"/>
        <v>24</v>
      </c>
      <c r="G19" s="85"/>
      <c r="H19" s="85"/>
      <c r="I19" s="527">
        <v>220</v>
      </c>
      <c r="J19" s="527">
        <v>425</v>
      </c>
      <c r="K19" s="23">
        <f t="shared" si="22"/>
        <v>645</v>
      </c>
      <c r="L19" s="527">
        <v>260</v>
      </c>
      <c r="M19" s="82">
        <f t="shared" si="23"/>
        <v>480</v>
      </c>
      <c r="N19" s="527">
        <v>38</v>
      </c>
      <c r="O19" s="527">
        <v>480</v>
      </c>
      <c r="P19" s="133">
        <f t="shared" si="16"/>
        <v>1</v>
      </c>
      <c r="Q19" s="527">
        <v>275</v>
      </c>
      <c r="R19" s="527">
        <v>0</v>
      </c>
      <c r="S19" s="76">
        <v>2663666</v>
      </c>
      <c r="T19" s="24">
        <f t="shared" si="20"/>
        <v>4485746</v>
      </c>
      <c r="U19" s="76">
        <v>2556021</v>
      </c>
      <c r="V19" s="76">
        <v>1929725</v>
      </c>
      <c r="W19" s="135">
        <f t="shared" si="17"/>
        <v>0.43019042986383982</v>
      </c>
      <c r="X19" s="281"/>
    </row>
    <row r="20" spans="1:24" s="93" customFormat="1">
      <c r="A20" s="10">
        <v>2005</v>
      </c>
      <c r="B20" s="527">
        <v>15</v>
      </c>
      <c r="C20" s="527">
        <v>5</v>
      </c>
      <c r="D20" s="23">
        <f t="shared" si="21"/>
        <v>20</v>
      </c>
      <c r="E20" s="82">
        <f t="shared" si="18"/>
        <v>34</v>
      </c>
      <c r="F20" s="82">
        <f t="shared" si="19"/>
        <v>26</v>
      </c>
      <c r="G20" s="85"/>
      <c r="H20" s="85"/>
      <c r="I20" s="527">
        <v>248</v>
      </c>
      <c r="J20" s="527">
        <v>421</v>
      </c>
      <c r="K20" s="23">
        <f t="shared" si="22"/>
        <v>669</v>
      </c>
      <c r="L20" s="527">
        <v>267</v>
      </c>
      <c r="M20" s="82">
        <f t="shared" si="23"/>
        <v>515</v>
      </c>
      <c r="N20" s="527">
        <v>40</v>
      </c>
      <c r="O20" s="527">
        <v>517</v>
      </c>
      <c r="P20" s="133">
        <f t="shared" si="16"/>
        <v>0.99613152804642169</v>
      </c>
      <c r="Q20" s="527">
        <v>236</v>
      </c>
      <c r="R20" s="527">
        <v>0</v>
      </c>
      <c r="S20" s="76">
        <v>2265635</v>
      </c>
      <c r="T20" s="24">
        <f t="shared" si="20"/>
        <v>3771397</v>
      </c>
      <c r="U20" s="76">
        <v>2212080</v>
      </c>
      <c r="V20" s="76">
        <v>1559317</v>
      </c>
      <c r="W20" s="135">
        <f t="shared" si="17"/>
        <v>0.41345872630221642</v>
      </c>
      <c r="X20" s="281"/>
    </row>
    <row r="21" spans="1:24">
      <c r="A21" s="15">
        <v>2004</v>
      </c>
      <c r="B21" s="528">
        <v>14</v>
      </c>
      <c r="C21" s="528">
        <v>2.75</v>
      </c>
      <c r="D21" s="23">
        <f t="shared" si="21"/>
        <v>16.75</v>
      </c>
      <c r="E21" s="82">
        <f t="shared" si="18"/>
        <v>33</v>
      </c>
      <c r="F21" s="82">
        <f t="shared" si="19"/>
        <v>28</v>
      </c>
      <c r="G21" s="85"/>
      <c r="H21" s="85"/>
      <c r="I21" s="528">
        <v>206</v>
      </c>
      <c r="J21" s="528">
        <v>437</v>
      </c>
      <c r="K21" s="23">
        <f t="shared" si="22"/>
        <v>643</v>
      </c>
      <c r="L21" s="528">
        <v>258.2</v>
      </c>
      <c r="M21" s="82">
        <f t="shared" si="23"/>
        <v>464.2</v>
      </c>
      <c r="N21" s="528">
        <v>36</v>
      </c>
      <c r="O21" s="528">
        <v>464.2</v>
      </c>
      <c r="P21" s="133">
        <f t="shared" si="16"/>
        <v>1</v>
      </c>
      <c r="Q21" s="528">
        <v>254</v>
      </c>
      <c r="R21" s="528">
        <v>0</v>
      </c>
      <c r="S21" s="132">
        <v>2361959</v>
      </c>
      <c r="T21" s="24">
        <f t="shared" si="20"/>
        <v>3643013</v>
      </c>
      <c r="U21" s="132">
        <v>2347452</v>
      </c>
      <c r="V21" s="132">
        <v>1295561</v>
      </c>
      <c r="W21" s="135">
        <f t="shared" si="17"/>
        <v>0.35562898073654964</v>
      </c>
    </row>
    <row r="22" spans="1:24">
      <c r="A22" s="15">
        <v>2003</v>
      </c>
      <c r="B22" s="528">
        <v>15</v>
      </c>
      <c r="C22" s="528">
        <f>ROUND(8.25, 0)</f>
        <v>8</v>
      </c>
      <c r="D22" s="23">
        <f t="shared" si="21"/>
        <v>23</v>
      </c>
      <c r="E22" s="82">
        <f t="shared" si="18"/>
        <v>30</v>
      </c>
      <c r="F22" s="82">
        <f t="shared" si="19"/>
        <v>19</v>
      </c>
      <c r="G22" s="85"/>
      <c r="H22" s="85"/>
      <c r="I22" s="528">
        <v>184</v>
      </c>
      <c r="J22" s="528">
        <v>457</v>
      </c>
      <c r="K22" s="23">
        <f t="shared" si="22"/>
        <v>641</v>
      </c>
      <c r="L22" s="528">
        <f>ROUND(262.1, 0)</f>
        <v>262</v>
      </c>
      <c r="M22" s="82">
        <f t="shared" si="23"/>
        <v>446</v>
      </c>
      <c r="N22" s="528">
        <v>32</v>
      </c>
      <c r="O22" s="528">
        <f>ROUND(446.1, 0)</f>
        <v>446</v>
      </c>
      <c r="P22" s="133">
        <f t="shared" si="16"/>
        <v>1</v>
      </c>
      <c r="Q22" s="528">
        <v>230</v>
      </c>
      <c r="R22" s="528">
        <v>0</v>
      </c>
      <c r="S22" s="132">
        <v>1870535</v>
      </c>
      <c r="T22" s="24">
        <f t="shared" si="20"/>
        <v>3548902</v>
      </c>
      <c r="U22" s="132">
        <v>1889922</v>
      </c>
      <c r="V22" s="132">
        <v>1658980</v>
      </c>
      <c r="W22" s="135">
        <f t="shared" si="17"/>
        <v>0.46746289415712239</v>
      </c>
    </row>
    <row r="23" spans="1:24">
      <c r="A23" s="15">
        <v>2002</v>
      </c>
      <c r="B23" s="528">
        <v>13</v>
      </c>
      <c r="C23" s="528">
        <v>3</v>
      </c>
      <c r="D23" s="23">
        <f t="shared" si="21"/>
        <v>16</v>
      </c>
      <c r="E23" s="82">
        <f t="shared" si="18"/>
        <v>33</v>
      </c>
      <c r="F23" s="82">
        <f t="shared" si="19"/>
        <v>27</v>
      </c>
      <c r="G23" s="85"/>
      <c r="H23" s="85"/>
      <c r="I23" s="528">
        <v>130</v>
      </c>
      <c r="J23" s="528">
        <v>503</v>
      </c>
      <c r="K23" s="23">
        <f t="shared" si="22"/>
        <v>633</v>
      </c>
      <c r="L23" s="528">
        <f>ROUND(294.9, 0)</f>
        <v>295</v>
      </c>
      <c r="M23" s="82">
        <f t="shared" si="23"/>
        <v>425</v>
      </c>
      <c r="N23" s="528">
        <v>31</v>
      </c>
      <c r="O23" s="528">
        <f>ROUND(429.9, 0)</f>
        <v>430</v>
      </c>
      <c r="P23" s="133">
        <f t="shared" si="16"/>
        <v>0.98837209302325579</v>
      </c>
      <c r="Q23" s="528">
        <v>186</v>
      </c>
      <c r="R23" s="528">
        <v>0</v>
      </c>
      <c r="S23" s="132">
        <v>1885422</v>
      </c>
      <c r="T23" s="24">
        <f t="shared" si="20"/>
        <v>3126800</v>
      </c>
      <c r="U23" s="132">
        <v>1878246</v>
      </c>
      <c r="V23" s="132">
        <v>1248554</v>
      </c>
      <c r="W23" s="135">
        <f t="shared" si="17"/>
        <v>0.39930727900729179</v>
      </c>
    </row>
    <row r="24" spans="1:24" s="12" customFormat="1"/>
    <row r="25" spans="1:24" s="12" customFormat="1"/>
    <row r="26" spans="1:24" s="12" customFormat="1"/>
    <row r="27" spans="1:24" s="12" customFormat="1"/>
    <row r="28" spans="1:24" s="12" customFormat="1"/>
    <row r="29" spans="1:24" s="12" customFormat="1"/>
    <row r="30" spans="1:24" s="12" customFormat="1"/>
    <row r="31" spans="1:24" s="12" customFormat="1"/>
    <row r="32" spans="1:24" s="12" customFormat="1"/>
    <row r="33" s="12" customFormat="1"/>
  </sheetData>
  <printOptions headings="1" gridLines="1"/>
  <pageMargins left="0.5" right="0.5" top="0.5" bottom="0.5" header="0" footer="0"/>
  <pageSetup paperSize="5" scale="65" orientation="landscape" horizontalDpi="1200" verticalDpi="1200"/>
  <legacyDrawing r:id="rId1"/>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L35"/>
  <sheetViews>
    <sheetView zoomScaleNormal="100" workbookViewId="0">
      <selection activeCell="G4" sqref="G4"/>
    </sheetView>
  </sheetViews>
  <sheetFormatPr defaultColWidth="8.85546875" defaultRowHeight="15"/>
  <cols>
    <col min="1" max="1" width="12.1406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2.28515625"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0.85546875" bestFit="1" customWidth="1"/>
    <col min="23" max="23" width="12.85546875" bestFit="1" customWidth="1"/>
  </cols>
  <sheetData>
    <row r="1" spans="1:220" s="1" customFormat="1" ht="18.75">
      <c r="A1" s="1" t="s">
        <v>98</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3" customFormat="1">
      <c r="A3" s="105">
        <v>2022</v>
      </c>
      <c r="B3" s="17">
        <v>20</v>
      </c>
      <c r="C3" s="17">
        <v>11.5</v>
      </c>
      <c r="D3" s="23">
        <f t="shared" ref="D3" si="0">SUM(B3:C3)</f>
        <v>31.5</v>
      </c>
      <c r="E3" s="82">
        <f t="shared" ref="E3" si="1">ROUND((O3/B3), 0)</f>
        <v>11</v>
      </c>
      <c r="F3" s="82">
        <f t="shared" ref="F3" si="2">ROUND((O3/D3), 0)</f>
        <v>7</v>
      </c>
      <c r="G3" s="17">
        <v>12</v>
      </c>
      <c r="H3" s="17">
        <v>6</v>
      </c>
      <c r="I3" s="17">
        <v>98</v>
      </c>
      <c r="J3" s="17">
        <v>146</v>
      </c>
      <c r="K3" s="23">
        <f>SUM(I3:J3)</f>
        <v>244</v>
      </c>
      <c r="L3" s="66">
        <v>82</v>
      </c>
      <c r="M3" s="82">
        <f t="shared" ref="M3" si="3">(I3+L3)</f>
        <v>180</v>
      </c>
      <c r="N3" s="17">
        <f>11+8+6+3+1</f>
        <v>29</v>
      </c>
      <c r="O3" s="17">
        <f>42+L3+I3</f>
        <v>222</v>
      </c>
      <c r="P3" s="133">
        <f>M3/O3</f>
        <v>0.81081081081081086</v>
      </c>
      <c r="Q3" s="17">
        <v>125</v>
      </c>
      <c r="R3" s="17">
        <v>72</v>
      </c>
      <c r="S3" s="20">
        <v>2094372</v>
      </c>
      <c r="T3" s="24">
        <f t="shared" ref="T3" si="4">SUM(U3:V3)</f>
        <v>2161634</v>
      </c>
      <c r="U3" s="20">
        <v>2161634</v>
      </c>
      <c r="V3" s="20">
        <v>0</v>
      </c>
      <c r="W3" s="135">
        <f>V3/T3</f>
        <v>0</v>
      </c>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row>
    <row r="4" spans="1:220" s="3" customFormat="1">
      <c r="A4" s="105">
        <v>2021</v>
      </c>
      <c r="B4" s="17">
        <v>15</v>
      </c>
      <c r="C4" s="17">
        <v>14</v>
      </c>
      <c r="D4" s="23">
        <f t="shared" ref="D4" si="5">SUM(B4:C4)</f>
        <v>29</v>
      </c>
      <c r="E4" s="82">
        <f t="shared" ref="E4" si="6">ROUND((O4/B4), 0)</f>
        <v>16</v>
      </c>
      <c r="F4" s="82">
        <f t="shared" ref="F4" si="7">ROUND((O4/D4), 0)</f>
        <v>8</v>
      </c>
      <c r="G4" s="17">
        <v>10</v>
      </c>
      <c r="H4" s="17">
        <v>7.5</v>
      </c>
      <c r="I4" s="17">
        <v>96</v>
      </c>
      <c r="J4" s="17">
        <v>185</v>
      </c>
      <c r="K4" s="23">
        <f>SUM(I4:J4)</f>
        <v>281</v>
      </c>
      <c r="L4" s="66">
        <v>101</v>
      </c>
      <c r="M4" s="82">
        <f>(I4+L4)</f>
        <v>197</v>
      </c>
      <c r="N4" s="17">
        <v>29</v>
      </c>
      <c r="O4" s="17">
        <f>37+M4</f>
        <v>234</v>
      </c>
      <c r="P4" s="133">
        <f>M4/O4</f>
        <v>0.84188034188034189</v>
      </c>
      <c r="Q4" s="17">
        <v>112</v>
      </c>
      <c r="R4" s="17">
        <v>40</v>
      </c>
      <c r="S4" s="20">
        <v>1916226.45</v>
      </c>
      <c r="T4" s="24">
        <f t="shared" ref="T4" si="8">SUM(U4:V4)</f>
        <v>2077349</v>
      </c>
      <c r="U4" s="20">
        <v>2077349</v>
      </c>
      <c r="V4" s="20">
        <v>0</v>
      </c>
      <c r="W4" s="135">
        <f>V4/T4</f>
        <v>0</v>
      </c>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row>
    <row r="5" spans="1:220" s="3" customFormat="1">
      <c r="A5" s="105">
        <v>2020</v>
      </c>
      <c r="B5" s="17">
        <v>14</v>
      </c>
      <c r="C5" s="17">
        <v>13.5</v>
      </c>
      <c r="D5" s="23">
        <f>SUM(B5:C5)</f>
        <v>27.5</v>
      </c>
      <c r="E5" s="82">
        <f>ROUND((O5/B5), 0)</f>
        <v>18</v>
      </c>
      <c r="F5" s="82">
        <f>ROUND((O5/D5), 0)</f>
        <v>9</v>
      </c>
      <c r="G5" s="17">
        <v>10</v>
      </c>
      <c r="H5" s="17">
        <v>7.5</v>
      </c>
      <c r="I5" s="17">
        <v>132</v>
      </c>
      <c r="J5" s="17">
        <v>158</v>
      </c>
      <c r="K5" s="23">
        <f>SUM(I5:J5)</f>
        <v>290</v>
      </c>
      <c r="L5" s="66">
        <v>89</v>
      </c>
      <c r="M5" s="82">
        <f>(I5+L5)</f>
        <v>221</v>
      </c>
      <c r="N5" s="17">
        <v>29</v>
      </c>
      <c r="O5" s="17">
        <v>254</v>
      </c>
      <c r="P5" s="133">
        <f>M5/O5</f>
        <v>0.87007874015748032</v>
      </c>
      <c r="Q5" s="17">
        <v>73</v>
      </c>
      <c r="R5" s="17">
        <v>61</v>
      </c>
      <c r="S5" s="20">
        <v>2335406</v>
      </c>
      <c r="T5" s="24">
        <f>SUM(U5:V5)</f>
        <v>2098832</v>
      </c>
      <c r="U5" s="20">
        <v>2098832</v>
      </c>
      <c r="V5" s="20">
        <v>0</v>
      </c>
      <c r="W5" s="135">
        <f>V5/T5</f>
        <v>0</v>
      </c>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row>
    <row r="6" spans="1:220" s="324" customFormat="1">
      <c r="A6" s="105">
        <v>2019</v>
      </c>
      <c r="B6" s="320">
        <v>15</v>
      </c>
      <c r="C6" s="320">
        <v>10</v>
      </c>
      <c r="D6" s="23">
        <f>SUM(B6:C6)</f>
        <v>25</v>
      </c>
      <c r="E6" s="82">
        <f>ROUND((O6/B6), 0)</f>
        <v>19</v>
      </c>
      <c r="F6" s="82">
        <f>ROUND((O6/D6), 0)</f>
        <v>11</v>
      </c>
      <c r="G6" s="320">
        <v>9</v>
      </c>
      <c r="H6" s="321">
        <v>6.5</v>
      </c>
      <c r="I6" s="320">
        <v>15</v>
      </c>
      <c r="J6" s="320">
        <v>233</v>
      </c>
      <c r="K6" s="23">
        <f t="shared" ref="K6" si="9">SUM(I6:J6)</f>
        <v>248</v>
      </c>
      <c r="L6" s="320">
        <v>124</v>
      </c>
      <c r="M6" s="82">
        <f>(I6+L6)</f>
        <v>139</v>
      </c>
      <c r="N6" s="320">
        <v>11</v>
      </c>
      <c r="O6" s="320">
        <v>278</v>
      </c>
      <c r="P6" s="133">
        <f t="shared" ref="P6" si="10">M6/O6</f>
        <v>0.5</v>
      </c>
      <c r="Q6" s="320">
        <v>75</v>
      </c>
      <c r="R6" s="320">
        <v>54</v>
      </c>
      <c r="S6" s="322">
        <v>2243828</v>
      </c>
      <c r="T6" s="24">
        <f>SUM(U6:V6)</f>
        <v>2066202</v>
      </c>
      <c r="U6" s="322">
        <v>2066202</v>
      </c>
      <c r="V6" s="322">
        <v>0</v>
      </c>
      <c r="W6" s="323">
        <f t="shared" ref="W6" si="11">V6/T6</f>
        <v>0</v>
      </c>
    </row>
    <row r="7" spans="1:220" s="14" customFormat="1">
      <c r="A7" s="10">
        <v>2018</v>
      </c>
      <c r="B7" s="17">
        <v>15</v>
      </c>
      <c r="C7" s="17">
        <f>13/2</f>
        <v>6.5</v>
      </c>
      <c r="D7" s="23">
        <f>SUM(B7:C7)</f>
        <v>21.5</v>
      </c>
      <c r="E7" s="82">
        <f>ROUND((O7/B7), 0)</f>
        <v>23</v>
      </c>
      <c r="F7" s="82">
        <f>ROUND((O7/D7), 0)</f>
        <v>16</v>
      </c>
      <c r="G7" s="17">
        <v>8</v>
      </c>
      <c r="H7" s="17">
        <v>3.5</v>
      </c>
      <c r="I7" s="17">
        <v>45</v>
      </c>
      <c r="J7" s="17">
        <v>138</v>
      </c>
      <c r="K7" s="23">
        <f t="shared" ref="K7" si="12">SUM(I7:J7)</f>
        <v>183</v>
      </c>
      <c r="L7" s="17">
        <v>72</v>
      </c>
      <c r="M7" s="82">
        <f>(I7+L7)</f>
        <v>117</v>
      </c>
      <c r="N7" s="17">
        <v>10</v>
      </c>
      <c r="O7" s="17">
        <v>352</v>
      </c>
      <c r="P7" s="133">
        <f>M7/O7</f>
        <v>0.33238636363636365</v>
      </c>
      <c r="Q7" s="17">
        <v>76</v>
      </c>
      <c r="R7" s="17">
        <f>111-76</f>
        <v>35</v>
      </c>
      <c r="S7" s="20">
        <v>1514970</v>
      </c>
      <c r="T7" s="24">
        <f>SUM(U7:V7)</f>
        <v>1568372</v>
      </c>
      <c r="U7" s="20">
        <v>1568372</v>
      </c>
      <c r="V7" s="20">
        <v>0</v>
      </c>
      <c r="W7" s="135">
        <f>V7/T7</f>
        <v>0</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13</v>
      </c>
      <c r="C8" s="17">
        <v>0.5</v>
      </c>
      <c r="D8" s="27">
        <f>SUM(B8:C8)</f>
        <v>13.5</v>
      </c>
      <c r="E8" s="27">
        <f>ROUND((O8/B8), 0)</f>
        <v>25</v>
      </c>
      <c r="F8" s="27">
        <f>ROUND((O8/D8), 0)</f>
        <v>24</v>
      </c>
      <c r="G8" s="17">
        <v>8</v>
      </c>
      <c r="H8" s="17">
        <v>0.5</v>
      </c>
      <c r="I8" s="17">
        <v>55</v>
      </c>
      <c r="J8" s="17">
        <v>137</v>
      </c>
      <c r="K8" s="27">
        <f>SUM(I8:J8)</f>
        <v>192</v>
      </c>
      <c r="L8" s="17">
        <v>70</v>
      </c>
      <c r="M8" s="29">
        <f>(I8+L8)</f>
        <v>125</v>
      </c>
      <c r="N8" s="255">
        <v>10</v>
      </c>
      <c r="O8" s="255">
        <v>321</v>
      </c>
      <c r="P8" s="133">
        <f t="shared" ref="P8:P23" si="13">M8/O8</f>
        <v>0.38940809968847351</v>
      </c>
      <c r="Q8" s="17">
        <v>78</v>
      </c>
      <c r="R8" s="17">
        <v>21</v>
      </c>
      <c r="S8" s="223">
        <v>1372521</v>
      </c>
      <c r="T8" s="28">
        <f>SUM(U8:V8)</f>
        <v>1561326</v>
      </c>
      <c r="U8" s="252">
        <v>1561326</v>
      </c>
      <c r="V8" s="20">
        <v>0</v>
      </c>
      <c r="W8" s="135">
        <f t="shared" ref="W8:W23" si="14">V8/T8</f>
        <v>0</v>
      </c>
    </row>
    <row r="9" spans="1:220" s="9" customFormat="1">
      <c r="A9" s="10">
        <v>2016</v>
      </c>
      <c r="B9" s="54">
        <v>15</v>
      </c>
      <c r="C9" s="54">
        <v>4</v>
      </c>
      <c r="D9" s="65">
        <f>SUM(B9:C9)</f>
        <v>19</v>
      </c>
      <c r="E9" s="13">
        <f>ROUND((O9/B9), 0)</f>
        <v>17</v>
      </c>
      <c r="F9" s="13">
        <f>ROUND((O9/D9), 0)</f>
        <v>14</v>
      </c>
      <c r="G9" s="66">
        <v>10</v>
      </c>
      <c r="H9" s="66">
        <v>2</v>
      </c>
      <c r="I9" s="54">
        <f>15+52</f>
        <v>67</v>
      </c>
      <c r="J9" s="54">
        <f>30+122</f>
        <v>152</v>
      </c>
      <c r="K9" s="65">
        <f>I9+J9</f>
        <v>219</v>
      </c>
      <c r="L9" s="54">
        <f>16+64</f>
        <v>80</v>
      </c>
      <c r="M9" s="13">
        <f>I9+L9</f>
        <v>147</v>
      </c>
      <c r="N9" s="54">
        <v>11</v>
      </c>
      <c r="O9" s="54">
        <v>258.5</v>
      </c>
      <c r="P9" s="133">
        <f t="shared" si="13"/>
        <v>0.56866537717601551</v>
      </c>
      <c r="Q9" s="54">
        <f>9+3+52+3</f>
        <v>67</v>
      </c>
      <c r="R9" s="54">
        <v>5</v>
      </c>
      <c r="S9" s="61">
        <v>1577841</v>
      </c>
      <c r="T9" s="68">
        <f>SUM(U9:V9)</f>
        <v>1577841</v>
      </c>
      <c r="U9" s="61">
        <v>1577841</v>
      </c>
      <c r="V9" s="20">
        <v>0</v>
      </c>
      <c r="W9" s="135">
        <f t="shared" si="14"/>
        <v>0</v>
      </c>
    </row>
    <row r="10" spans="1:220" s="16" customFormat="1">
      <c r="A10" s="15">
        <v>2015</v>
      </c>
      <c r="B10" s="70">
        <v>10</v>
      </c>
      <c r="C10" s="70">
        <v>10.75</v>
      </c>
      <c r="D10" s="65">
        <v>20.75</v>
      </c>
      <c r="E10" s="65">
        <v>35.6</v>
      </c>
      <c r="F10" s="65">
        <v>17.2</v>
      </c>
      <c r="G10" s="83"/>
      <c r="H10" s="83"/>
      <c r="I10" s="70">
        <v>79</v>
      </c>
      <c r="J10" s="70">
        <v>133</v>
      </c>
      <c r="K10" s="23">
        <f>I10+J10</f>
        <v>212</v>
      </c>
      <c r="L10" s="70">
        <v>71</v>
      </c>
      <c r="M10" s="65">
        <v>282.7</v>
      </c>
      <c r="N10" s="70">
        <v>13</v>
      </c>
      <c r="O10" s="70">
        <v>356.2</v>
      </c>
      <c r="P10" s="133">
        <f t="shared" si="13"/>
        <v>0.79365524985962943</v>
      </c>
      <c r="Q10" s="70">
        <v>75</v>
      </c>
      <c r="R10" s="70">
        <v>0</v>
      </c>
      <c r="S10" s="78">
        <v>1845473</v>
      </c>
      <c r="T10" s="79">
        <v>2050152</v>
      </c>
      <c r="U10" s="78">
        <v>2048702</v>
      </c>
      <c r="V10" s="78">
        <v>1450</v>
      </c>
      <c r="W10" s="135">
        <f t="shared" si="14"/>
        <v>7.0726463208581607E-4</v>
      </c>
    </row>
    <row r="11" spans="1:220" s="16" customFormat="1">
      <c r="A11" s="15">
        <v>2014</v>
      </c>
      <c r="B11" s="70">
        <v>12</v>
      </c>
      <c r="C11" s="70">
        <v>3</v>
      </c>
      <c r="D11" s="65">
        <f t="shared" ref="D11:D23" si="15">SUM(B11:C11)</f>
        <v>15</v>
      </c>
      <c r="E11" s="13">
        <f t="shared" ref="E11:E23" si="16">ROUND((O11/B11), 0)</f>
        <v>14</v>
      </c>
      <c r="F11" s="13">
        <f t="shared" ref="F11:F23" si="17">ROUND((O11/D11), 0)</f>
        <v>11</v>
      </c>
      <c r="G11" s="83"/>
      <c r="H11" s="83"/>
      <c r="I11" s="70">
        <v>81</v>
      </c>
      <c r="J11" s="70">
        <v>122</v>
      </c>
      <c r="K11" s="65">
        <f>I11+J11</f>
        <v>203</v>
      </c>
      <c r="L11" s="70">
        <v>67</v>
      </c>
      <c r="M11" s="13">
        <f>I11+L11</f>
        <v>148</v>
      </c>
      <c r="N11" s="70">
        <v>2</v>
      </c>
      <c r="O11" s="70">
        <v>170</v>
      </c>
      <c r="P11" s="133">
        <f t="shared" si="13"/>
        <v>0.87058823529411766</v>
      </c>
      <c r="Q11" s="70">
        <v>98</v>
      </c>
      <c r="R11" s="70">
        <v>0</v>
      </c>
      <c r="S11" s="71">
        <v>1656109</v>
      </c>
      <c r="T11" s="68">
        <f t="shared" ref="T11:T23" si="18">SUM(U11:V11)</f>
        <v>1740923</v>
      </c>
      <c r="U11" s="71">
        <v>1735023</v>
      </c>
      <c r="V11" s="71">
        <v>5900</v>
      </c>
      <c r="W11" s="135">
        <f t="shared" si="14"/>
        <v>3.389006865898147E-3</v>
      </c>
    </row>
    <row r="12" spans="1:220">
      <c r="A12" s="15">
        <v>2013</v>
      </c>
      <c r="B12" s="528">
        <v>13</v>
      </c>
      <c r="C12" s="528">
        <v>4</v>
      </c>
      <c r="D12" s="23">
        <f t="shared" si="15"/>
        <v>17</v>
      </c>
      <c r="E12" s="82">
        <f t="shared" si="16"/>
        <v>13</v>
      </c>
      <c r="F12" s="82">
        <f t="shared" si="17"/>
        <v>10</v>
      </c>
      <c r="G12" s="85"/>
      <c r="H12" s="85"/>
      <c r="I12" s="528">
        <v>95</v>
      </c>
      <c r="J12" s="528">
        <v>143</v>
      </c>
      <c r="K12" s="23">
        <f>I12+J12</f>
        <v>238</v>
      </c>
      <c r="L12" s="528">
        <v>75.900000000000006</v>
      </c>
      <c r="M12" s="82">
        <f>I12+L12</f>
        <v>170.9</v>
      </c>
      <c r="N12" s="528">
        <v>7</v>
      </c>
      <c r="O12" s="528">
        <v>170.9</v>
      </c>
      <c r="P12" s="133">
        <f t="shared" si="13"/>
        <v>1</v>
      </c>
      <c r="Q12" s="528">
        <v>81</v>
      </c>
      <c r="R12" s="528">
        <v>0</v>
      </c>
      <c r="S12" s="84">
        <v>1329398</v>
      </c>
      <c r="T12" s="24">
        <f t="shared" si="18"/>
        <v>1607304</v>
      </c>
      <c r="U12" s="84">
        <v>1579070</v>
      </c>
      <c r="V12" s="84">
        <v>28234</v>
      </c>
      <c r="W12" s="135">
        <f t="shared" si="14"/>
        <v>1.7566060931846122E-2</v>
      </c>
    </row>
    <row r="13" spans="1:220">
      <c r="A13" s="15">
        <v>2012</v>
      </c>
      <c r="B13" s="528">
        <v>12</v>
      </c>
      <c r="C13" s="528">
        <v>4</v>
      </c>
      <c r="D13" s="23">
        <f t="shared" si="15"/>
        <v>16</v>
      </c>
      <c r="E13" s="82">
        <f t="shared" si="16"/>
        <v>16</v>
      </c>
      <c r="F13" s="82">
        <f t="shared" si="17"/>
        <v>12</v>
      </c>
      <c r="G13" s="85"/>
      <c r="H13" s="85"/>
      <c r="I13" s="528">
        <v>108</v>
      </c>
      <c r="J13" s="528">
        <v>142</v>
      </c>
      <c r="K13" s="23">
        <f>I13+J13</f>
        <v>250</v>
      </c>
      <c r="L13" s="528">
        <v>78</v>
      </c>
      <c r="M13" s="82">
        <f>I13+L13</f>
        <v>186</v>
      </c>
      <c r="N13" s="528">
        <v>8</v>
      </c>
      <c r="O13" s="528">
        <v>186</v>
      </c>
      <c r="P13" s="133">
        <f t="shared" si="13"/>
        <v>1</v>
      </c>
      <c r="Q13" s="528">
        <v>79</v>
      </c>
      <c r="R13" s="528">
        <v>0</v>
      </c>
      <c r="S13" s="84">
        <v>1608330.74</v>
      </c>
      <c r="T13" s="24">
        <f t="shared" si="18"/>
        <v>1674084</v>
      </c>
      <c r="U13" s="84">
        <v>1642850</v>
      </c>
      <c r="V13" s="84">
        <v>31234</v>
      </c>
      <c r="W13" s="135">
        <f t="shared" si="14"/>
        <v>1.8657367252778237E-2</v>
      </c>
    </row>
    <row r="14" spans="1:220">
      <c r="A14" s="15" t="s">
        <v>26</v>
      </c>
      <c r="B14" s="528">
        <v>12</v>
      </c>
      <c r="C14" s="528">
        <v>5</v>
      </c>
      <c r="D14" s="23">
        <f t="shared" si="15"/>
        <v>17</v>
      </c>
      <c r="E14" s="82">
        <f t="shared" si="16"/>
        <v>14</v>
      </c>
      <c r="F14" s="82">
        <f t="shared" si="17"/>
        <v>10</v>
      </c>
      <c r="G14" s="85"/>
      <c r="H14" s="85"/>
      <c r="I14" s="528">
        <v>101</v>
      </c>
      <c r="J14" s="528">
        <v>126</v>
      </c>
      <c r="K14" s="23">
        <f t="shared" ref="K14:K23" si="19">SUM(I14:J14)</f>
        <v>227</v>
      </c>
      <c r="L14" s="528">
        <v>64</v>
      </c>
      <c r="M14" s="82">
        <f t="shared" ref="M14:M23" si="20">(I14+L14)</f>
        <v>165</v>
      </c>
      <c r="N14" s="528">
        <v>6</v>
      </c>
      <c r="O14" s="528">
        <v>165</v>
      </c>
      <c r="P14" s="133">
        <f t="shared" si="13"/>
        <v>1</v>
      </c>
      <c r="Q14" s="528">
        <v>70</v>
      </c>
      <c r="R14" s="528">
        <v>0</v>
      </c>
      <c r="S14" s="84">
        <v>1396872</v>
      </c>
      <c r="T14" s="24">
        <f t="shared" si="18"/>
        <v>1618778</v>
      </c>
      <c r="U14" s="84">
        <v>1517778</v>
      </c>
      <c r="V14" s="84">
        <v>101000</v>
      </c>
      <c r="W14" s="135">
        <f t="shared" si="14"/>
        <v>6.2392743167994626E-2</v>
      </c>
    </row>
    <row r="15" spans="1:220">
      <c r="A15" s="15" t="s">
        <v>27</v>
      </c>
      <c r="B15" s="528">
        <v>11</v>
      </c>
      <c r="C15" s="528">
        <v>1.75</v>
      </c>
      <c r="D15" s="23">
        <f t="shared" si="15"/>
        <v>12.75</v>
      </c>
      <c r="E15" s="82">
        <f t="shared" si="16"/>
        <v>14</v>
      </c>
      <c r="F15" s="82">
        <f t="shared" si="17"/>
        <v>12</v>
      </c>
      <c r="G15" s="85"/>
      <c r="H15" s="85"/>
      <c r="I15" s="528">
        <v>90</v>
      </c>
      <c r="J15" s="528">
        <v>123</v>
      </c>
      <c r="K15" s="23">
        <f t="shared" si="19"/>
        <v>213</v>
      </c>
      <c r="L15" s="528">
        <v>67.11</v>
      </c>
      <c r="M15" s="82">
        <f t="shared" si="20"/>
        <v>157.11000000000001</v>
      </c>
      <c r="N15" s="528">
        <v>8</v>
      </c>
      <c r="O15" s="528">
        <v>157.11000000000001</v>
      </c>
      <c r="P15" s="133">
        <f t="shared" si="13"/>
        <v>1</v>
      </c>
      <c r="Q15" s="528">
        <v>79</v>
      </c>
      <c r="R15" s="528">
        <v>0</v>
      </c>
      <c r="S15" s="84">
        <v>1498494</v>
      </c>
      <c r="T15" s="24">
        <f t="shared" si="18"/>
        <v>1564598</v>
      </c>
      <c r="U15" s="84">
        <v>1463598</v>
      </c>
      <c r="V15" s="84">
        <v>101000</v>
      </c>
      <c r="W15" s="135">
        <f t="shared" si="14"/>
        <v>6.4553322962192211E-2</v>
      </c>
    </row>
    <row r="16" spans="1:220">
      <c r="A16" s="15" t="s">
        <v>28</v>
      </c>
      <c r="B16" s="528">
        <v>11</v>
      </c>
      <c r="C16" s="528">
        <v>2.25</v>
      </c>
      <c r="D16" s="23">
        <f t="shared" si="15"/>
        <v>13.25</v>
      </c>
      <c r="E16" s="82">
        <f t="shared" si="16"/>
        <v>14</v>
      </c>
      <c r="F16" s="82">
        <f t="shared" si="17"/>
        <v>12</v>
      </c>
      <c r="G16" s="85"/>
      <c r="H16" s="85"/>
      <c r="I16" s="528">
        <v>103</v>
      </c>
      <c r="J16" s="528">
        <v>110</v>
      </c>
      <c r="K16" s="23">
        <f t="shared" si="19"/>
        <v>213</v>
      </c>
      <c r="L16" s="528">
        <v>55.88</v>
      </c>
      <c r="M16" s="82">
        <f t="shared" si="20"/>
        <v>158.88</v>
      </c>
      <c r="N16" s="528">
        <v>10</v>
      </c>
      <c r="O16" s="528">
        <v>158.88</v>
      </c>
      <c r="P16" s="133">
        <f t="shared" si="13"/>
        <v>1</v>
      </c>
      <c r="Q16" s="528">
        <v>91</v>
      </c>
      <c r="R16" s="528">
        <v>0</v>
      </c>
      <c r="S16" s="84">
        <v>1605886</v>
      </c>
      <c r="T16" s="24">
        <f t="shared" si="18"/>
        <v>1652336.16</v>
      </c>
      <c r="U16" s="84">
        <v>1537964.16</v>
      </c>
      <c r="V16" s="84">
        <v>114372</v>
      </c>
      <c r="W16" s="135">
        <f t="shared" si="14"/>
        <v>6.9218360506012294E-2</v>
      </c>
    </row>
    <row r="17" spans="1:23">
      <c r="A17" s="15" t="s">
        <v>29</v>
      </c>
      <c r="B17" s="528">
        <v>12</v>
      </c>
      <c r="C17" s="528">
        <v>2</v>
      </c>
      <c r="D17" s="23">
        <f t="shared" si="15"/>
        <v>14</v>
      </c>
      <c r="E17" s="82">
        <f t="shared" si="16"/>
        <v>13</v>
      </c>
      <c r="F17" s="82">
        <f t="shared" si="17"/>
        <v>11</v>
      </c>
      <c r="G17" s="85"/>
      <c r="H17" s="85"/>
      <c r="I17" s="528">
        <v>89</v>
      </c>
      <c r="J17" s="528">
        <v>114</v>
      </c>
      <c r="K17" s="23">
        <f t="shared" si="19"/>
        <v>203</v>
      </c>
      <c r="L17" s="528">
        <v>61.7</v>
      </c>
      <c r="M17" s="82">
        <f t="shared" si="20"/>
        <v>150.69999999999999</v>
      </c>
      <c r="N17" s="528">
        <v>10</v>
      </c>
      <c r="O17" s="528">
        <v>151</v>
      </c>
      <c r="P17" s="133">
        <f t="shared" si="13"/>
        <v>0.99801324503311251</v>
      </c>
      <c r="Q17" s="528">
        <v>89</v>
      </c>
      <c r="R17" s="528">
        <v>0</v>
      </c>
      <c r="S17" s="84">
        <v>1451408</v>
      </c>
      <c r="T17" s="24">
        <f t="shared" si="18"/>
        <v>1467754</v>
      </c>
      <c r="U17" s="84">
        <v>1396404</v>
      </c>
      <c r="V17" s="84">
        <v>71350</v>
      </c>
      <c r="W17" s="135">
        <f t="shared" si="14"/>
        <v>4.861168833469369E-2</v>
      </c>
    </row>
    <row r="18" spans="1:23">
      <c r="A18" s="15">
        <v>2007</v>
      </c>
      <c r="B18" s="528">
        <v>11</v>
      </c>
      <c r="C18" s="528">
        <v>3</v>
      </c>
      <c r="D18" s="23">
        <f t="shared" si="15"/>
        <v>14</v>
      </c>
      <c r="E18" s="82">
        <f t="shared" si="16"/>
        <v>14</v>
      </c>
      <c r="F18" s="82">
        <f t="shared" si="17"/>
        <v>11</v>
      </c>
      <c r="G18" s="85"/>
      <c r="H18" s="85"/>
      <c r="I18" s="528">
        <v>80</v>
      </c>
      <c r="J18" s="528">
        <v>139</v>
      </c>
      <c r="K18" s="23">
        <f t="shared" si="19"/>
        <v>219</v>
      </c>
      <c r="L18" s="528">
        <v>71.66</v>
      </c>
      <c r="M18" s="82">
        <f t="shared" si="20"/>
        <v>151.66</v>
      </c>
      <c r="N18" s="528">
        <v>13</v>
      </c>
      <c r="O18" s="528">
        <v>152</v>
      </c>
      <c r="P18" s="133">
        <f t="shared" si="13"/>
        <v>0.9977631578947368</v>
      </c>
      <c r="Q18" s="528">
        <v>104</v>
      </c>
      <c r="R18" s="528">
        <v>0</v>
      </c>
      <c r="S18" s="132">
        <v>1358083</v>
      </c>
      <c r="T18" s="24">
        <f t="shared" si="18"/>
        <v>1344749</v>
      </c>
      <c r="U18" s="132">
        <v>1266075</v>
      </c>
      <c r="V18" s="132">
        <v>78674</v>
      </c>
      <c r="W18" s="135">
        <f t="shared" si="14"/>
        <v>5.8504598255882695E-2</v>
      </c>
    </row>
    <row r="19" spans="1:23">
      <c r="A19" s="15">
        <v>2006</v>
      </c>
      <c r="B19" s="528">
        <v>10</v>
      </c>
      <c r="C19" s="528">
        <v>3.5</v>
      </c>
      <c r="D19" s="23">
        <f t="shared" si="15"/>
        <v>13.5</v>
      </c>
      <c r="E19" s="82">
        <f t="shared" si="16"/>
        <v>16</v>
      </c>
      <c r="F19" s="82">
        <f t="shared" si="17"/>
        <v>12</v>
      </c>
      <c r="G19" s="85"/>
      <c r="H19" s="85"/>
      <c r="I19" s="528">
        <v>83</v>
      </c>
      <c r="J19" s="528">
        <v>149</v>
      </c>
      <c r="K19" s="23">
        <f t="shared" si="19"/>
        <v>232</v>
      </c>
      <c r="L19" s="528">
        <v>76</v>
      </c>
      <c r="M19" s="82">
        <f t="shared" si="20"/>
        <v>159</v>
      </c>
      <c r="N19" s="528">
        <v>5</v>
      </c>
      <c r="O19" s="528">
        <v>159</v>
      </c>
      <c r="P19" s="133">
        <f t="shared" si="13"/>
        <v>1</v>
      </c>
      <c r="Q19" s="528">
        <v>97</v>
      </c>
      <c r="R19" s="528">
        <v>0</v>
      </c>
      <c r="S19" s="132">
        <v>1288633</v>
      </c>
      <c r="T19" s="24">
        <f t="shared" si="18"/>
        <v>1324261</v>
      </c>
      <c r="U19" s="132">
        <v>1248628</v>
      </c>
      <c r="V19" s="132">
        <v>75633</v>
      </c>
      <c r="W19" s="135">
        <f t="shared" si="14"/>
        <v>5.7113363604304593E-2</v>
      </c>
    </row>
    <row r="20" spans="1:23">
      <c r="A20" s="15">
        <v>2005</v>
      </c>
      <c r="B20" s="528">
        <v>11</v>
      </c>
      <c r="C20" s="528">
        <v>6</v>
      </c>
      <c r="D20" s="23">
        <f t="shared" si="15"/>
        <v>17</v>
      </c>
      <c r="E20" s="82">
        <f t="shared" si="16"/>
        <v>18</v>
      </c>
      <c r="F20" s="82">
        <f t="shared" si="17"/>
        <v>12</v>
      </c>
      <c r="G20" s="85"/>
      <c r="H20" s="85"/>
      <c r="I20" s="528">
        <v>119</v>
      </c>
      <c r="J20" s="528">
        <v>125</v>
      </c>
      <c r="K20" s="23">
        <f t="shared" si="19"/>
        <v>244</v>
      </c>
      <c r="L20" s="528">
        <v>84</v>
      </c>
      <c r="M20" s="82">
        <f t="shared" si="20"/>
        <v>203</v>
      </c>
      <c r="N20" s="528">
        <v>12</v>
      </c>
      <c r="O20" s="528">
        <v>203</v>
      </c>
      <c r="P20" s="133">
        <f t="shared" si="13"/>
        <v>1</v>
      </c>
      <c r="Q20" s="528">
        <v>103</v>
      </c>
      <c r="R20" s="528">
        <v>0</v>
      </c>
      <c r="S20" s="132">
        <v>1352555</v>
      </c>
      <c r="T20" s="24">
        <f t="shared" si="18"/>
        <v>1390286</v>
      </c>
      <c r="U20" s="132">
        <v>1117753</v>
      </c>
      <c r="V20" s="132">
        <v>272533</v>
      </c>
      <c r="W20" s="135">
        <f t="shared" si="14"/>
        <v>0.19602657294973841</v>
      </c>
    </row>
    <row r="21" spans="1:23">
      <c r="A21" s="15">
        <v>2004</v>
      </c>
      <c r="B21" s="528">
        <v>10</v>
      </c>
      <c r="C21" s="528">
        <v>2</v>
      </c>
      <c r="D21" s="23">
        <f t="shared" si="15"/>
        <v>12</v>
      </c>
      <c r="E21" s="82">
        <f t="shared" si="16"/>
        <v>20</v>
      </c>
      <c r="F21" s="82">
        <f t="shared" si="17"/>
        <v>17</v>
      </c>
      <c r="G21" s="85"/>
      <c r="H21" s="85"/>
      <c r="I21" s="528">
        <v>110</v>
      </c>
      <c r="J21" s="528">
        <v>139</v>
      </c>
      <c r="K21" s="23">
        <f t="shared" si="19"/>
        <v>249</v>
      </c>
      <c r="L21" s="528">
        <v>93</v>
      </c>
      <c r="M21" s="82">
        <f t="shared" si="20"/>
        <v>203</v>
      </c>
      <c r="N21" s="528">
        <v>13</v>
      </c>
      <c r="O21" s="528">
        <v>203</v>
      </c>
      <c r="P21" s="133">
        <f t="shared" si="13"/>
        <v>1</v>
      </c>
      <c r="Q21" s="528">
        <v>95</v>
      </c>
      <c r="R21" s="528">
        <v>0</v>
      </c>
      <c r="S21" s="132">
        <v>1428774</v>
      </c>
      <c r="T21" s="24">
        <f t="shared" si="18"/>
        <v>1567897</v>
      </c>
      <c r="U21" s="132">
        <v>1247731</v>
      </c>
      <c r="V21" s="132">
        <v>320166</v>
      </c>
      <c r="W21" s="135">
        <f t="shared" si="14"/>
        <v>0.20420091370797955</v>
      </c>
    </row>
    <row r="22" spans="1:23">
      <c r="A22" s="15">
        <v>2003</v>
      </c>
      <c r="B22" s="528">
        <v>10</v>
      </c>
      <c r="C22" s="528">
        <v>3</v>
      </c>
      <c r="D22" s="23">
        <f t="shared" si="15"/>
        <v>13</v>
      </c>
      <c r="E22" s="82">
        <f t="shared" si="16"/>
        <v>19</v>
      </c>
      <c r="F22" s="82">
        <f t="shared" si="17"/>
        <v>15</v>
      </c>
      <c r="G22" s="85"/>
      <c r="H22" s="85"/>
      <c r="I22" s="528">
        <v>93</v>
      </c>
      <c r="J22" s="528">
        <v>143</v>
      </c>
      <c r="K22" s="23">
        <f t="shared" si="19"/>
        <v>236</v>
      </c>
      <c r="L22" s="528">
        <v>96</v>
      </c>
      <c r="M22" s="82">
        <f t="shared" si="20"/>
        <v>189</v>
      </c>
      <c r="N22" s="528">
        <v>9</v>
      </c>
      <c r="O22" s="528">
        <v>194</v>
      </c>
      <c r="P22" s="133">
        <f t="shared" si="13"/>
        <v>0.97422680412371132</v>
      </c>
      <c r="Q22" s="528">
        <v>79</v>
      </c>
      <c r="R22" s="528">
        <v>0</v>
      </c>
      <c r="S22" s="132">
        <v>1440296</v>
      </c>
      <c r="T22" s="24">
        <f t="shared" si="18"/>
        <v>1657494</v>
      </c>
      <c r="U22" s="132">
        <v>1195715</v>
      </c>
      <c r="V22" s="132">
        <v>461779</v>
      </c>
      <c r="W22" s="135">
        <f t="shared" si="14"/>
        <v>0.27860070685022087</v>
      </c>
    </row>
    <row r="23" spans="1:23">
      <c r="A23" s="15">
        <v>2002</v>
      </c>
      <c r="B23" s="528">
        <v>11</v>
      </c>
      <c r="C23" s="528">
        <f>ROUND(2.25, 0)</f>
        <v>2</v>
      </c>
      <c r="D23" s="23">
        <f t="shared" si="15"/>
        <v>13</v>
      </c>
      <c r="E23" s="82">
        <f t="shared" si="16"/>
        <v>15</v>
      </c>
      <c r="F23" s="82">
        <f t="shared" si="17"/>
        <v>13</v>
      </c>
      <c r="G23" s="85"/>
      <c r="H23" s="85"/>
      <c r="I23" s="528">
        <v>77</v>
      </c>
      <c r="J23" s="528">
        <v>133</v>
      </c>
      <c r="K23" s="23">
        <f t="shared" si="19"/>
        <v>210</v>
      </c>
      <c r="L23" s="528">
        <f>ROUND(89.11, 0)</f>
        <v>89</v>
      </c>
      <c r="M23" s="82">
        <f t="shared" si="20"/>
        <v>166</v>
      </c>
      <c r="N23" s="528">
        <v>4</v>
      </c>
      <c r="O23" s="528">
        <f>ROUND(166.11, 0)</f>
        <v>166</v>
      </c>
      <c r="P23" s="133">
        <f t="shared" si="13"/>
        <v>1</v>
      </c>
      <c r="Q23" s="528">
        <v>67</v>
      </c>
      <c r="R23" s="528">
        <v>0</v>
      </c>
      <c r="S23" s="132">
        <v>1239746</v>
      </c>
      <c r="T23" s="24">
        <f t="shared" si="18"/>
        <v>1560121</v>
      </c>
      <c r="U23" s="132">
        <v>1077804</v>
      </c>
      <c r="V23" s="132">
        <v>482317</v>
      </c>
      <c r="W23" s="135">
        <f t="shared" si="14"/>
        <v>0.30915358488219824</v>
      </c>
    </row>
    <row r="24" spans="1:23" s="12" customFormat="1"/>
    <row r="25" spans="1:23" s="12" customFormat="1"/>
    <row r="26" spans="1:23" s="12" customFormat="1"/>
    <row r="27" spans="1:23" s="12" customFormat="1"/>
    <row r="28" spans="1:23" s="12" customFormat="1"/>
    <row r="29" spans="1:23" s="12" customFormat="1"/>
    <row r="30" spans="1:23" s="12" customFormat="1"/>
    <row r="31" spans="1:23" s="12" customFormat="1"/>
    <row r="32" spans="1:23" s="12" customFormat="1"/>
    <row r="33" s="12" customFormat="1"/>
    <row r="34" s="12" customFormat="1"/>
    <row r="35" s="12" customFormat="1"/>
  </sheetData>
  <printOptions headings="1" gridLines="1"/>
  <pageMargins left="0.5" right="0.5" top="0.5" bottom="0.5" header="0" footer="0"/>
  <pageSetup paperSize="5" scale="61" orientation="landscape" r:id="rId1"/>
  <legacyDrawing r:id="rId2"/>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HL35"/>
  <sheetViews>
    <sheetView topLeftCell="A15" workbookViewId="0">
      <selection activeCell="H41" sqref="H41"/>
    </sheetView>
  </sheetViews>
  <sheetFormatPr defaultColWidth="8.85546875" defaultRowHeight="15"/>
  <cols>
    <col min="1" max="1" width="9.285156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0.85546875" bestFit="1" customWidth="1"/>
    <col min="23" max="23" width="12.85546875" bestFit="1" customWidth="1"/>
  </cols>
  <sheetData>
    <row r="1" spans="1:220" s="7" customFormat="1" ht="18.75">
      <c r="A1" s="1" t="s">
        <v>99</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80" customFormat="1">
      <c r="A3" s="105">
        <v>2022</v>
      </c>
      <c r="B3" s="66">
        <v>5</v>
      </c>
      <c r="C3" s="66">
        <v>4</v>
      </c>
      <c r="D3" s="65">
        <f t="shared" ref="D3" si="0">SUM(B3:C3)</f>
        <v>9</v>
      </c>
      <c r="E3" s="106">
        <f t="shared" ref="E3" si="1">ROUND((O3/B3), 0)</f>
        <v>26</v>
      </c>
      <c r="F3" s="106">
        <f t="shared" ref="F3" si="2">ROUND((O3/D3), 0)</f>
        <v>15</v>
      </c>
      <c r="G3" s="66">
        <v>5</v>
      </c>
      <c r="H3" s="66">
        <v>4</v>
      </c>
      <c r="I3" s="66">
        <v>39</v>
      </c>
      <c r="J3" s="66">
        <v>106</v>
      </c>
      <c r="K3" s="65">
        <f t="shared" ref="K3" si="3">SUM(I3:J3)</f>
        <v>145</v>
      </c>
      <c r="L3" s="66">
        <v>53</v>
      </c>
      <c r="M3" s="13">
        <f t="shared" ref="M3" si="4">(I3+L3)</f>
        <v>92</v>
      </c>
      <c r="N3" s="66">
        <v>46</v>
      </c>
      <c r="O3" s="66">
        <v>131</v>
      </c>
      <c r="P3" s="134">
        <f t="shared" ref="P3" si="5">M3/O3</f>
        <v>0.70229007633587781</v>
      </c>
      <c r="Q3" s="66">
        <v>71</v>
      </c>
      <c r="R3" s="66">
        <v>25</v>
      </c>
      <c r="S3" s="304">
        <v>1051736</v>
      </c>
      <c r="T3" s="24">
        <v>1021996</v>
      </c>
      <c r="U3" s="132">
        <v>4043346.98</v>
      </c>
      <c r="V3" s="132">
        <v>1021996</v>
      </c>
      <c r="W3" s="135">
        <f>V3/(U3+V3)</f>
        <v>0.20176244807809637</v>
      </c>
    </row>
    <row r="4" spans="1:220" s="80" customFormat="1">
      <c r="A4" s="105">
        <v>2021</v>
      </c>
      <c r="B4" s="66">
        <v>5</v>
      </c>
      <c r="C4" s="66">
        <v>4</v>
      </c>
      <c r="D4" s="65">
        <f>SUM(B4:C4)</f>
        <v>9</v>
      </c>
      <c r="E4" s="106">
        <f t="shared" ref="E4" si="6">ROUND((O4/B4), 0)</f>
        <v>30</v>
      </c>
      <c r="F4" s="106">
        <f t="shared" ref="F4" si="7">ROUND((O4/D4), 0)</f>
        <v>17</v>
      </c>
      <c r="G4" s="66">
        <v>5</v>
      </c>
      <c r="H4" s="66">
        <v>4</v>
      </c>
      <c r="I4" s="66">
        <v>26</v>
      </c>
      <c r="J4" s="66">
        <v>88</v>
      </c>
      <c r="K4" s="65">
        <f t="shared" ref="K4" si="8">SUM(I4:J4)</f>
        <v>114</v>
      </c>
      <c r="L4" s="66">
        <v>44</v>
      </c>
      <c r="M4" s="13">
        <f>(I4+L4)</f>
        <v>70</v>
      </c>
      <c r="N4" s="66">
        <v>40</v>
      </c>
      <c r="O4" s="66">
        <v>149</v>
      </c>
      <c r="P4" s="134">
        <f t="shared" ref="P4" si="9">M4/O4</f>
        <v>0.46979865771812079</v>
      </c>
      <c r="Q4" s="66">
        <v>76</v>
      </c>
      <c r="R4" s="66">
        <v>63</v>
      </c>
      <c r="S4" s="304">
        <v>1028592</v>
      </c>
      <c r="T4" s="24">
        <f t="shared" ref="T4" si="10">SUM(U4:V4)</f>
        <v>2969119</v>
      </c>
      <c r="U4" s="304">
        <f>1631147+1337972</f>
        <v>2969119</v>
      </c>
      <c r="V4" s="508">
        <v>0</v>
      </c>
      <c r="W4" s="135">
        <f t="shared" ref="W4" si="11">V4/T4</f>
        <v>0</v>
      </c>
    </row>
    <row r="5" spans="1:220" s="80" customFormat="1">
      <c r="A5" s="105">
        <v>2020</v>
      </c>
      <c r="B5" s="66">
        <v>5</v>
      </c>
      <c r="C5" s="66">
        <v>12</v>
      </c>
      <c r="D5" s="65">
        <f>SUM(B5:C5)</f>
        <v>17</v>
      </c>
      <c r="E5" s="106"/>
      <c r="F5" s="106"/>
      <c r="G5" s="66">
        <v>5</v>
      </c>
      <c r="H5" s="66">
        <v>7</v>
      </c>
      <c r="I5" s="66">
        <v>52</v>
      </c>
      <c r="J5" s="66">
        <v>77</v>
      </c>
      <c r="K5" s="65">
        <f t="shared" ref="K5" si="12">SUM(I5:J5)</f>
        <v>129</v>
      </c>
      <c r="L5" s="66">
        <v>52</v>
      </c>
      <c r="M5" s="13">
        <f>(I5+L5)</f>
        <v>104</v>
      </c>
      <c r="N5" s="66">
        <v>35</v>
      </c>
      <c r="O5" s="66">
        <v>176</v>
      </c>
      <c r="P5" s="134">
        <f t="shared" ref="P5" si="13">M5/O5</f>
        <v>0.59090909090909094</v>
      </c>
      <c r="Q5" s="66">
        <v>69</v>
      </c>
      <c r="R5" s="66">
        <v>24</v>
      </c>
      <c r="S5" s="304">
        <v>933958</v>
      </c>
      <c r="T5" s="24">
        <f>SUM(U5:V5)</f>
        <v>3383674</v>
      </c>
      <c r="U5" s="304">
        <v>2750133</v>
      </c>
      <c r="V5" s="508">
        <v>633541</v>
      </c>
      <c r="W5" s="135">
        <f t="shared" ref="W5" si="14">V5/T5</f>
        <v>0.18723464494510997</v>
      </c>
    </row>
    <row r="6" spans="1:220" s="72" customFormat="1">
      <c r="A6" s="105">
        <v>2019</v>
      </c>
      <c r="B6" s="66">
        <v>5</v>
      </c>
      <c r="C6" s="66">
        <v>8</v>
      </c>
      <c r="D6" s="23">
        <f>SUM(B6:C6)</f>
        <v>13</v>
      </c>
      <c r="E6" s="82">
        <f>ROUND((O6/B6), 0)</f>
        <v>57</v>
      </c>
      <c r="F6" s="82">
        <f>ROUND((O6/D6), 0)</f>
        <v>22</v>
      </c>
      <c r="G6" s="66">
        <v>5</v>
      </c>
      <c r="H6" s="66">
        <v>8</v>
      </c>
      <c r="I6" s="66">
        <v>79</v>
      </c>
      <c r="J6" s="66">
        <v>84</v>
      </c>
      <c r="K6" s="23">
        <f t="shared" ref="K6" si="15">SUM(I6:J6)</f>
        <v>163</v>
      </c>
      <c r="L6" s="66">
        <v>31</v>
      </c>
      <c r="M6" s="82">
        <f>(I6+L6)</f>
        <v>110</v>
      </c>
      <c r="N6" s="66">
        <v>34</v>
      </c>
      <c r="O6" s="66">
        <v>285</v>
      </c>
      <c r="P6" s="133">
        <f t="shared" ref="P6" si="16">M6/O6</f>
        <v>0.38596491228070173</v>
      </c>
      <c r="Q6" s="66">
        <v>64</v>
      </c>
      <c r="R6" s="66">
        <v>40</v>
      </c>
      <c r="S6" s="325">
        <v>1378034</v>
      </c>
      <c r="T6" s="24">
        <v>2786144</v>
      </c>
      <c r="U6" s="326">
        <v>2889212</v>
      </c>
      <c r="V6" s="326">
        <v>322486</v>
      </c>
      <c r="W6" s="135">
        <f t="shared" ref="W6" si="17">V6/T6</f>
        <v>0.11574635051167492</v>
      </c>
    </row>
    <row r="7" spans="1:220" s="14" customFormat="1">
      <c r="A7" s="10">
        <v>2018</v>
      </c>
      <c r="B7" s="17">
        <v>8</v>
      </c>
      <c r="C7" s="17">
        <v>6</v>
      </c>
      <c r="D7" s="23">
        <f>SUM(B7:C7)</f>
        <v>14</v>
      </c>
      <c r="E7" s="82">
        <f>ROUND((O7/B7), 0)</f>
        <v>14</v>
      </c>
      <c r="F7" s="82">
        <f>ROUND((O7/D7), 0)</f>
        <v>8</v>
      </c>
      <c r="G7" s="17">
        <v>8</v>
      </c>
      <c r="H7" s="17">
        <v>6</v>
      </c>
      <c r="I7" s="17">
        <v>5</v>
      </c>
      <c r="J7" s="17">
        <v>132</v>
      </c>
      <c r="K7" s="23">
        <f>SUM(I7:J7)</f>
        <v>137</v>
      </c>
      <c r="L7" s="17">
        <v>44</v>
      </c>
      <c r="M7" s="82">
        <f>(I7+L7)</f>
        <v>49</v>
      </c>
      <c r="N7" s="17">
        <v>6</v>
      </c>
      <c r="O7" s="17">
        <v>108</v>
      </c>
      <c r="P7" s="133">
        <f>M7/O7</f>
        <v>0.45370370370370372</v>
      </c>
      <c r="Q7" s="17">
        <v>58</v>
      </c>
      <c r="R7" s="17">
        <v>52</v>
      </c>
      <c r="S7" s="60">
        <v>1876734</v>
      </c>
      <c r="T7" s="24">
        <f>SUM(U7:V7)</f>
        <v>2290606</v>
      </c>
      <c r="U7" s="20">
        <v>2118210</v>
      </c>
      <c r="V7" s="20">
        <v>172396</v>
      </c>
      <c r="W7" s="135">
        <f>V7/T7</f>
        <v>7.5262179528037557E-2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8</v>
      </c>
      <c r="C8" s="17">
        <v>6</v>
      </c>
      <c r="D8" s="27">
        <f>SUM(B8:C8)</f>
        <v>14</v>
      </c>
      <c r="E8" s="27">
        <f>ROUND((O8/B8), 0)</f>
        <v>20</v>
      </c>
      <c r="F8" s="27">
        <f>ROUND((O8/D8), 0)</f>
        <v>12</v>
      </c>
      <c r="G8" s="17">
        <v>8</v>
      </c>
      <c r="H8" s="17">
        <v>6</v>
      </c>
      <c r="I8" s="17">
        <v>39</v>
      </c>
      <c r="J8" s="17">
        <v>104</v>
      </c>
      <c r="K8" s="27">
        <f>SUM(I8:J8)</f>
        <v>143</v>
      </c>
      <c r="L8" s="17">
        <v>75</v>
      </c>
      <c r="M8" s="29">
        <f>(I8+L8)</f>
        <v>114</v>
      </c>
      <c r="N8" s="255">
        <v>31</v>
      </c>
      <c r="O8" s="255">
        <v>162</v>
      </c>
      <c r="P8" s="133">
        <f t="shared" ref="P8:P23" si="18">M8/O8</f>
        <v>0.70370370370370372</v>
      </c>
      <c r="Q8" s="17">
        <v>92</v>
      </c>
      <c r="R8" s="17">
        <v>47</v>
      </c>
      <c r="S8" s="223">
        <v>2157456</v>
      </c>
      <c r="T8" s="28">
        <f>SUM(U8:V8)</f>
        <v>2729191</v>
      </c>
      <c r="U8" s="252">
        <v>2389400</v>
      </c>
      <c r="V8" s="20">
        <v>339791</v>
      </c>
      <c r="W8" s="135">
        <f t="shared" ref="W8:W23" si="19">V8/T8</f>
        <v>0.12450246245132715</v>
      </c>
    </row>
    <row r="9" spans="1:220" s="9" customFormat="1">
      <c r="A9" s="10">
        <v>2016</v>
      </c>
      <c r="B9" s="54">
        <v>9</v>
      </c>
      <c r="C9" s="54">
        <v>3</v>
      </c>
      <c r="D9" s="65">
        <f>B9+C9</f>
        <v>12</v>
      </c>
      <c r="E9" s="13">
        <f>ROUND((O9/B9), 0)</f>
        <v>28</v>
      </c>
      <c r="F9" s="13">
        <f>ROUND((O9/D9), 0)</f>
        <v>21</v>
      </c>
      <c r="G9" s="54">
        <v>8</v>
      </c>
      <c r="H9" s="54">
        <v>3</v>
      </c>
      <c r="I9" s="54">
        <v>61</v>
      </c>
      <c r="J9" s="54">
        <v>91</v>
      </c>
      <c r="K9" s="65">
        <f>I9+J9</f>
        <v>152</v>
      </c>
      <c r="L9" s="54">
        <v>76</v>
      </c>
      <c r="M9" s="13">
        <f>I9+L9</f>
        <v>137</v>
      </c>
      <c r="N9" s="54">
        <v>34</v>
      </c>
      <c r="O9" s="54">
        <v>255</v>
      </c>
      <c r="P9" s="133">
        <f t="shared" si="18"/>
        <v>0.53725490196078429</v>
      </c>
      <c r="Q9" s="54">
        <v>89</v>
      </c>
      <c r="R9" s="54">
        <v>73</v>
      </c>
      <c r="S9" s="55">
        <v>1848140</v>
      </c>
      <c r="T9" s="68">
        <f>SUM(U9:V9)</f>
        <v>2716900</v>
      </c>
      <c r="U9" s="55">
        <v>2611900</v>
      </c>
      <c r="V9" s="55">
        <v>105000</v>
      </c>
      <c r="W9" s="135">
        <f t="shared" si="19"/>
        <v>3.8646987375317458E-2</v>
      </c>
    </row>
    <row r="10" spans="1:220" s="16" customFormat="1">
      <c r="A10" s="15">
        <v>2015</v>
      </c>
      <c r="B10" s="70">
        <v>10</v>
      </c>
      <c r="C10" s="70">
        <v>1.3</v>
      </c>
      <c r="D10" s="65">
        <v>11.3</v>
      </c>
      <c r="E10" s="65">
        <v>16.399999999999999</v>
      </c>
      <c r="F10" s="65">
        <v>14.5</v>
      </c>
      <c r="G10" s="83"/>
      <c r="H10" s="83"/>
      <c r="I10" s="70">
        <v>34</v>
      </c>
      <c r="J10" s="70">
        <v>177</v>
      </c>
      <c r="K10" s="65">
        <v>211</v>
      </c>
      <c r="L10" s="70">
        <v>92</v>
      </c>
      <c r="M10" s="65">
        <v>126.4</v>
      </c>
      <c r="N10" s="70">
        <v>44</v>
      </c>
      <c r="O10" s="70">
        <v>164.2</v>
      </c>
      <c r="P10" s="133">
        <f t="shared" si="18"/>
        <v>0.76979293544457983</v>
      </c>
      <c r="Q10" s="70">
        <v>107</v>
      </c>
      <c r="R10" s="70">
        <v>4</v>
      </c>
      <c r="S10" s="78">
        <v>2710776</v>
      </c>
      <c r="T10" s="79">
        <v>3215338</v>
      </c>
      <c r="U10" s="78">
        <v>2835100</v>
      </c>
      <c r="V10" s="78">
        <v>380238</v>
      </c>
      <c r="W10" s="135">
        <f t="shared" si="19"/>
        <v>0.11825755177216206</v>
      </c>
    </row>
    <row r="11" spans="1:220" s="16" customFormat="1">
      <c r="A11" s="15">
        <v>2014</v>
      </c>
      <c r="B11" s="70">
        <v>10</v>
      </c>
      <c r="C11" s="70">
        <v>1.5</v>
      </c>
      <c r="D11" s="65">
        <f>B11+C11</f>
        <v>11.5</v>
      </c>
      <c r="E11" s="13">
        <f t="shared" ref="E11:E18" si="20">ROUND((O11/B11), 0)</f>
        <v>18</v>
      </c>
      <c r="F11" s="13">
        <f t="shared" ref="F11:F23" si="21">ROUND((O11/D11), 0)</f>
        <v>15</v>
      </c>
      <c r="G11" s="83"/>
      <c r="H11" s="83"/>
      <c r="I11" s="70">
        <v>32</v>
      </c>
      <c r="J11" s="70">
        <v>172</v>
      </c>
      <c r="K11" s="65">
        <f>I11+J11</f>
        <v>204</v>
      </c>
      <c r="L11" s="70">
        <v>106.33</v>
      </c>
      <c r="M11" s="13">
        <f>I11+L11</f>
        <v>138.32999999999998</v>
      </c>
      <c r="N11" s="70">
        <v>34</v>
      </c>
      <c r="O11" s="70">
        <v>176</v>
      </c>
      <c r="P11" s="133">
        <f t="shared" si="18"/>
        <v>0.78596590909090902</v>
      </c>
      <c r="Q11" s="70">
        <v>170</v>
      </c>
      <c r="R11" s="70">
        <v>5</v>
      </c>
      <c r="S11" s="71">
        <v>2461997</v>
      </c>
      <c r="T11" s="68">
        <f t="shared" ref="T11:T23" si="22">SUM(U11:V11)</f>
        <v>3202091</v>
      </c>
      <c r="U11" s="71">
        <v>2953900</v>
      </c>
      <c r="V11" s="71">
        <v>248191</v>
      </c>
      <c r="W11" s="135">
        <f t="shared" si="19"/>
        <v>7.7509040186553094E-2</v>
      </c>
    </row>
    <row r="12" spans="1:220">
      <c r="A12" s="15">
        <v>2013</v>
      </c>
      <c r="B12" s="528">
        <v>11</v>
      </c>
      <c r="C12" s="528">
        <v>1.23</v>
      </c>
      <c r="D12" s="23">
        <f>B12+C12</f>
        <v>12.23</v>
      </c>
      <c r="E12" s="82">
        <f t="shared" si="20"/>
        <v>14</v>
      </c>
      <c r="F12" s="82">
        <f t="shared" si="21"/>
        <v>13</v>
      </c>
      <c r="G12" s="85"/>
      <c r="H12" s="85"/>
      <c r="I12" s="528">
        <v>52</v>
      </c>
      <c r="J12" s="528">
        <v>154</v>
      </c>
      <c r="K12" s="23">
        <f>I12+J12</f>
        <v>206</v>
      </c>
      <c r="L12" s="528">
        <v>87.2</v>
      </c>
      <c r="M12" s="82">
        <f>I12+L12</f>
        <v>139.19999999999999</v>
      </c>
      <c r="N12" s="528">
        <v>33</v>
      </c>
      <c r="O12" s="528">
        <v>157.19999999999999</v>
      </c>
      <c r="P12" s="133">
        <f t="shared" si="18"/>
        <v>0.8854961832061069</v>
      </c>
      <c r="Q12" s="528">
        <v>85</v>
      </c>
      <c r="R12" s="528">
        <v>3</v>
      </c>
      <c r="S12" s="84">
        <v>1400683</v>
      </c>
      <c r="T12" s="24">
        <f t="shared" si="22"/>
        <v>2787398</v>
      </c>
      <c r="U12" s="84">
        <v>2787398</v>
      </c>
      <c r="V12" s="84">
        <v>0</v>
      </c>
      <c r="W12" s="135">
        <f t="shared" si="19"/>
        <v>0</v>
      </c>
    </row>
    <row r="13" spans="1:220">
      <c r="A13" s="15">
        <v>2012</v>
      </c>
      <c r="B13" s="528">
        <v>11</v>
      </c>
      <c r="C13" s="528">
        <v>3.32</v>
      </c>
      <c r="D13" s="23">
        <f>B13+C13</f>
        <v>14.32</v>
      </c>
      <c r="E13" s="82">
        <f t="shared" si="20"/>
        <v>23</v>
      </c>
      <c r="F13" s="82">
        <f t="shared" si="21"/>
        <v>17</v>
      </c>
      <c r="G13" s="85"/>
      <c r="H13" s="85"/>
      <c r="I13" s="528">
        <v>78</v>
      </c>
      <c r="J13" s="528">
        <v>196</v>
      </c>
      <c r="K13" s="23">
        <f>I13+J13</f>
        <v>274</v>
      </c>
      <c r="L13" s="528">
        <v>111.69999999999999</v>
      </c>
      <c r="M13" s="82">
        <f>I13+L13</f>
        <v>189.7</v>
      </c>
      <c r="N13" s="528">
        <v>30</v>
      </c>
      <c r="O13" s="528">
        <v>247.49999999999997</v>
      </c>
      <c r="P13" s="133">
        <f t="shared" si="18"/>
        <v>0.76646464646464652</v>
      </c>
      <c r="Q13" s="528">
        <v>384</v>
      </c>
      <c r="R13" s="528">
        <v>67</v>
      </c>
      <c r="S13" s="84">
        <v>2483901</v>
      </c>
      <c r="T13" s="24">
        <f t="shared" si="22"/>
        <v>3014547</v>
      </c>
      <c r="U13" s="84">
        <v>3014547</v>
      </c>
      <c r="V13" s="84">
        <v>0</v>
      </c>
      <c r="W13" s="135">
        <f t="shared" si="19"/>
        <v>0</v>
      </c>
    </row>
    <row r="14" spans="1:220">
      <c r="A14" s="15" t="s">
        <v>26</v>
      </c>
      <c r="B14" s="528">
        <v>11</v>
      </c>
      <c r="C14" s="528">
        <v>7.26</v>
      </c>
      <c r="D14" s="23">
        <f t="shared" ref="D14:D23" si="23">SUM(B14:C14)</f>
        <v>18.259999999999998</v>
      </c>
      <c r="E14" s="82">
        <f t="shared" si="20"/>
        <v>26</v>
      </c>
      <c r="F14" s="82">
        <f t="shared" si="21"/>
        <v>15</v>
      </c>
      <c r="G14" s="85"/>
      <c r="H14" s="85"/>
      <c r="I14" s="528">
        <v>94</v>
      </c>
      <c r="J14" s="528">
        <v>248</v>
      </c>
      <c r="K14" s="23">
        <f>SUM(I14:J14)</f>
        <v>342</v>
      </c>
      <c r="L14" s="528">
        <v>138</v>
      </c>
      <c r="M14" s="82">
        <f>(I14+L14)</f>
        <v>232</v>
      </c>
      <c r="N14" s="528">
        <v>25</v>
      </c>
      <c r="O14" s="528">
        <v>283</v>
      </c>
      <c r="P14" s="133">
        <f t="shared" si="18"/>
        <v>0.81978798586572443</v>
      </c>
      <c r="Q14" s="528">
        <v>168</v>
      </c>
      <c r="R14" s="528">
        <v>66</v>
      </c>
      <c r="S14" s="84">
        <v>3896455</v>
      </c>
      <c r="T14" s="24">
        <f t="shared" si="22"/>
        <v>3528320</v>
      </c>
      <c r="U14" s="84">
        <v>3518572</v>
      </c>
      <c r="V14" s="84">
        <v>9748</v>
      </c>
      <c r="W14" s="135">
        <f t="shared" si="19"/>
        <v>2.762787955740976E-3</v>
      </c>
    </row>
    <row r="15" spans="1:220">
      <c r="A15" s="15" t="s">
        <v>27</v>
      </c>
      <c r="B15" s="528">
        <v>12</v>
      </c>
      <c r="C15" s="528">
        <v>7.26</v>
      </c>
      <c r="D15" s="23">
        <f t="shared" si="23"/>
        <v>19.259999999999998</v>
      </c>
      <c r="E15" s="82">
        <f t="shared" si="20"/>
        <v>26</v>
      </c>
      <c r="F15" s="82">
        <f t="shared" si="21"/>
        <v>16</v>
      </c>
      <c r="G15" s="85"/>
      <c r="H15" s="85"/>
      <c r="I15" s="528">
        <v>122</v>
      </c>
      <c r="J15" s="528">
        <v>288</v>
      </c>
      <c r="K15" s="23">
        <f>SUM(I15:J15)</f>
        <v>410</v>
      </c>
      <c r="L15" s="528">
        <v>162</v>
      </c>
      <c r="M15" s="82">
        <f>(I15+L15)</f>
        <v>284</v>
      </c>
      <c r="N15" s="528">
        <v>49</v>
      </c>
      <c r="O15" s="528">
        <v>316.5</v>
      </c>
      <c r="P15" s="133">
        <f t="shared" si="18"/>
        <v>0.89731437598736175</v>
      </c>
      <c r="Q15" s="528">
        <v>126</v>
      </c>
      <c r="R15" s="528">
        <v>55</v>
      </c>
      <c r="S15" s="84">
        <v>2781137.99</v>
      </c>
      <c r="T15" s="24">
        <f t="shared" si="22"/>
        <v>2781138</v>
      </c>
      <c r="U15" s="84">
        <v>2691138</v>
      </c>
      <c r="V15" s="84">
        <v>90000</v>
      </c>
      <c r="W15" s="135">
        <f t="shared" si="19"/>
        <v>3.2360853722469003E-2</v>
      </c>
    </row>
    <row r="16" spans="1:220">
      <c r="A16" s="15" t="s">
        <v>28</v>
      </c>
      <c r="B16" s="528">
        <v>12</v>
      </c>
      <c r="C16" s="528">
        <v>7</v>
      </c>
      <c r="D16" s="23">
        <f t="shared" si="23"/>
        <v>19</v>
      </c>
      <c r="E16" s="82">
        <f t="shared" si="20"/>
        <v>27</v>
      </c>
      <c r="F16" s="82">
        <f t="shared" si="21"/>
        <v>17</v>
      </c>
      <c r="G16" s="85"/>
      <c r="H16" s="85"/>
      <c r="I16" s="528">
        <v>113</v>
      </c>
      <c r="J16" s="528">
        <v>280</v>
      </c>
      <c r="K16" s="23">
        <f>SUM(I16:J16)</f>
        <v>393</v>
      </c>
      <c r="L16" s="528">
        <v>150.5</v>
      </c>
      <c r="M16" s="82">
        <f>(I16+L16)</f>
        <v>263.5</v>
      </c>
      <c r="N16" s="528">
        <v>51</v>
      </c>
      <c r="O16" s="528">
        <v>325.7</v>
      </c>
      <c r="P16" s="133">
        <f t="shared" si="18"/>
        <v>0.80902671169788154</v>
      </c>
      <c r="Q16" s="528">
        <v>133</v>
      </c>
      <c r="R16" s="528">
        <v>66</v>
      </c>
      <c r="S16" s="84">
        <v>2655045.85</v>
      </c>
      <c r="T16" s="24">
        <f t="shared" si="22"/>
        <v>2655046</v>
      </c>
      <c r="U16" s="84">
        <v>2600046</v>
      </c>
      <c r="V16" s="84">
        <v>55000</v>
      </c>
      <c r="W16" s="135">
        <f t="shared" si="19"/>
        <v>2.07152719764554E-2</v>
      </c>
    </row>
    <row r="17" spans="1:23">
      <c r="A17" s="15" t="s">
        <v>29</v>
      </c>
      <c r="B17" s="528">
        <v>14</v>
      </c>
      <c r="C17" s="528">
        <v>7.5</v>
      </c>
      <c r="D17" s="23">
        <f t="shared" si="23"/>
        <v>21.5</v>
      </c>
      <c r="E17" s="82">
        <f t="shared" si="20"/>
        <v>18</v>
      </c>
      <c r="F17" s="82">
        <f t="shared" si="21"/>
        <v>12</v>
      </c>
      <c r="G17" s="85"/>
      <c r="H17" s="85"/>
      <c r="I17" s="528">
        <v>95</v>
      </c>
      <c r="J17" s="528">
        <v>244</v>
      </c>
      <c r="K17" s="23">
        <f>SUM(I17:J17)</f>
        <v>339</v>
      </c>
      <c r="L17" s="528">
        <v>134</v>
      </c>
      <c r="M17" s="82">
        <f>(I17+L17)</f>
        <v>229</v>
      </c>
      <c r="N17" s="528">
        <v>45</v>
      </c>
      <c r="O17" s="528">
        <v>253</v>
      </c>
      <c r="P17" s="133">
        <f t="shared" si="18"/>
        <v>0.90513833992094861</v>
      </c>
      <c r="Q17" s="528">
        <v>117</v>
      </c>
      <c r="R17" s="528">
        <v>35</v>
      </c>
      <c r="S17" s="84">
        <v>2754517</v>
      </c>
      <c r="T17" s="24">
        <f t="shared" si="22"/>
        <v>2754517</v>
      </c>
      <c r="U17" s="84">
        <v>2754517</v>
      </c>
      <c r="V17" s="84">
        <v>0</v>
      </c>
      <c r="W17" s="135">
        <f t="shared" si="19"/>
        <v>0</v>
      </c>
    </row>
    <row r="18" spans="1:23">
      <c r="A18" s="15">
        <v>2007</v>
      </c>
      <c r="B18" s="528">
        <v>15</v>
      </c>
      <c r="C18" s="528">
        <v>8</v>
      </c>
      <c r="D18" s="82">
        <f t="shared" si="23"/>
        <v>23</v>
      </c>
      <c r="E18" s="82">
        <f t="shared" si="20"/>
        <v>16</v>
      </c>
      <c r="F18" s="82">
        <f t="shared" si="21"/>
        <v>11</v>
      </c>
      <c r="G18" s="85"/>
      <c r="H18" s="85"/>
      <c r="I18" s="528">
        <v>82</v>
      </c>
      <c r="J18" s="528">
        <v>236</v>
      </c>
      <c r="K18" s="23">
        <v>318</v>
      </c>
      <c r="L18" s="528">
        <v>133</v>
      </c>
      <c r="M18" s="23">
        <v>215</v>
      </c>
      <c r="N18" s="528">
        <v>43</v>
      </c>
      <c r="O18" s="528">
        <v>242</v>
      </c>
      <c r="P18" s="133">
        <f t="shared" si="18"/>
        <v>0.88842975206611574</v>
      </c>
      <c r="Q18" s="528">
        <v>181</v>
      </c>
      <c r="R18" s="528">
        <v>9</v>
      </c>
      <c r="S18" s="132">
        <v>2696474</v>
      </c>
      <c r="T18" s="24">
        <f t="shared" si="22"/>
        <v>2696474</v>
      </c>
      <c r="U18" s="132">
        <v>2648574</v>
      </c>
      <c r="V18" s="132">
        <v>47900</v>
      </c>
      <c r="W18" s="135">
        <f t="shared" si="19"/>
        <v>1.7763939129396389E-2</v>
      </c>
    </row>
    <row r="19" spans="1:23">
      <c r="A19" s="15">
        <v>2006</v>
      </c>
      <c r="B19" s="528">
        <v>15</v>
      </c>
      <c r="C19" s="528">
        <v>8</v>
      </c>
      <c r="D19" s="82">
        <f t="shared" si="23"/>
        <v>23</v>
      </c>
      <c r="E19" s="82">
        <f>ROUND((O19/B19), 0)</f>
        <v>20</v>
      </c>
      <c r="F19" s="82">
        <f t="shared" si="21"/>
        <v>13</v>
      </c>
      <c r="G19" s="85"/>
      <c r="H19" s="85"/>
      <c r="I19" s="528">
        <v>103</v>
      </c>
      <c r="J19" s="528">
        <v>292</v>
      </c>
      <c r="K19" s="23">
        <f>SUM(I19:J19)</f>
        <v>395</v>
      </c>
      <c r="L19" s="528">
        <v>158</v>
      </c>
      <c r="M19" s="82">
        <f>(I19+L19)</f>
        <v>261</v>
      </c>
      <c r="N19" s="528">
        <v>38</v>
      </c>
      <c r="O19" s="528">
        <v>301</v>
      </c>
      <c r="P19" s="133">
        <f t="shared" si="18"/>
        <v>0.86710963455149503</v>
      </c>
      <c r="Q19" s="528">
        <v>167</v>
      </c>
      <c r="R19" s="528">
        <v>3</v>
      </c>
      <c r="S19" s="132">
        <v>2952154.95</v>
      </c>
      <c r="T19" s="24">
        <f t="shared" si="22"/>
        <v>2952154.95</v>
      </c>
      <c r="U19" s="132">
        <v>2907154.95</v>
      </c>
      <c r="V19" s="132">
        <v>45000</v>
      </c>
      <c r="W19" s="135">
        <f t="shared" si="19"/>
        <v>1.5243102331061586E-2</v>
      </c>
    </row>
    <row r="20" spans="1:23">
      <c r="A20" s="15">
        <v>2005</v>
      </c>
      <c r="B20" s="528">
        <v>15</v>
      </c>
      <c r="C20" s="528">
        <v>6</v>
      </c>
      <c r="D20" s="82">
        <f t="shared" si="23"/>
        <v>21</v>
      </c>
      <c r="E20" s="82">
        <f>ROUND((O20/B20), 0)</f>
        <v>20</v>
      </c>
      <c r="F20" s="82">
        <f t="shared" si="21"/>
        <v>14</v>
      </c>
      <c r="G20" s="85"/>
      <c r="H20" s="85"/>
      <c r="I20" s="528">
        <v>105</v>
      </c>
      <c r="J20" s="528">
        <v>310</v>
      </c>
      <c r="K20" s="23">
        <f>SUM(I20:J20)</f>
        <v>415</v>
      </c>
      <c r="L20" s="528">
        <v>169</v>
      </c>
      <c r="M20" s="82">
        <f>(I20+L20)</f>
        <v>274</v>
      </c>
      <c r="N20" s="528">
        <v>9</v>
      </c>
      <c r="O20" s="528">
        <v>294</v>
      </c>
      <c r="P20" s="133">
        <f t="shared" si="18"/>
        <v>0.93197278911564629</v>
      </c>
      <c r="Q20" s="528">
        <v>192</v>
      </c>
      <c r="R20" s="528">
        <v>3</v>
      </c>
      <c r="S20" s="132">
        <v>2745048.62</v>
      </c>
      <c r="T20" s="24">
        <f t="shared" si="22"/>
        <v>2745048.62</v>
      </c>
      <c r="U20" s="132">
        <v>2630808.62</v>
      </c>
      <c r="V20" s="132">
        <v>114240</v>
      </c>
      <c r="W20" s="135">
        <f t="shared" si="19"/>
        <v>4.1616749214445609E-2</v>
      </c>
    </row>
    <row r="21" spans="1:23">
      <c r="A21" s="15">
        <v>2004</v>
      </c>
      <c r="B21" s="528">
        <v>14</v>
      </c>
      <c r="C21" s="528">
        <v>6</v>
      </c>
      <c r="D21" s="82">
        <f t="shared" si="23"/>
        <v>20</v>
      </c>
      <c r="E21" s="82">
        <f>ROUND((O21/B21), 0)</f>
        <v>21</v>
      </c>
      <c r="F21" s="82">
        <f t="shared" si="21"/>
        <v>15</v>
      </c>
      <c r="G21" s="85"/>
      <c r="H21" s="85"/>
      <c r="I21" s="528">
        <v>92</v>
      </c>
      <c r="J21" s="528">
        <v>341</v>
      </c>
      <c r="K21" s="23">
        <f>SUM(I21:J21)</f>
        <v>433</v>
      </c>
      <c r="L21" s="528">
        <v>187</v>
      </c>
      <c r="M21" s="82">
        <f>(I21+L21)</f>
        <v>279</v>
      </c>
      <c r="N21" s="528">
        <v>26</v>
      </c>
      <c r="O21" s="528">
        <v>298</v>
      </c>
      <c r="P21" s="133">
        <f t="shared" si="18"/>
        <v>0.93624161073825507</v>
      </c>
      <c r="Q21" s="528">
        <v>185</v>
      </c>
      <c r="R21" s="528">
        <v>0</v>
      </c>
      <c r="S21" s="132">
        <v>1954252.05</v>
      </c>
      <c r="T21" s="24">
        <f t="shared" si="22"/>
        <v>1954252.05</v>
      </c>
      <c r="U21" s="132">
        <v>1954252.05</v>
      </c>
      <c r="V21" s="132">
        <v>0</v>
      </c>
      <c r="W21" s="135">
        <f t="shared" si="19"/>
        <v>0</v>
      </c>
    </row>
    <row r="22" spans="1:23">
      <c r="A22" s="15">
        <v>2003</v>
      </c>
      <c r="B22" s="528">
        <v>14</v>
      </c>
      <c r="C22" s="528">
        <v>7</v>
      </c>
      <c r="D22" s="23">
        <f t="shared" si="23"/>
        <v>21</v>
      </c>
      <c r="E22" s="82">
        <f>ROUND((O22/B22), 0)</f>
        <v>22</v>
      </c>
      <c r="F22" s="82">
        <f t="shared" si="21"/>
        <v>15</v>
      </c>
      <c r="G22" s="85"/>
      <c r="H22" s="85"/>
      <c r="I22" s="528">
        <v>26</v>
      </c>
      <c r="J22" s="528">
        <v>447</v>
      </c>
      <c r="K22" s="23">
        <f>SUM(I22:J22)</f>
        <v>473</v>
      </c>
      <c r="L22" s="528">
        <v>259</v>
      </c>
      <c r="M22" s="82">
        <f>(I22+L22)</f>
        <v>285</v>
      </c>
      <c r="N22" s="528">
        <v>28</v>
      </c>
      <c r="O22" s="528">
        <v>312</v>
      </c>
      <c r="P22" s="133">
        <f t="shared" si="18"/>
        <v>0.91346153846153844</v>
      </c>
      <c r="Q22" s="528">
        <v>137</v>
      </c>
      <c r="R22" s="528">
        <v>3</v>
      </c>
      <c r="S22" s="132">
        <v>1987693</v>
      </c>
      <c r="T22" s="24">
        <f t="shared" si="22"/>
        <v>1987693</v>
      </c>
      <c r="U22" s="132">
        <v>1987693</v>
      </c>
      <c r="V22" s="132">
        <v>0</v>
      </c>
      <c r="W22" s="135">
        <f t="shared" si="19"/>
        <v>0</v>
      </c>
    </row>
    <row r="23" spans="1:23">
      <c r="A23" s="15">
        <v>2002</v>
      </c>
      <c r="B23" s="528">
        <v>15</v>
      </c>
      <c r="C23" s="528">
        <v>6</v>
      </c>
      <c r="D23" s="23">
        <f t="shared" si="23"/>
        <v>21</v>
      </c>
      <c r="E23" s="82">
        <f>ROUND((O23/B23), 0)</f>
        <v>18</v>
      </c>
      <c r="F23" s="82">
        <f t="shared" si="21"/>
        <v>13</v>
      </c>
      <c r="G23" s="85"/>
      <c r="H23" s="85"/>
      <c r="I23" s="528">
        <v>24</v>
      </c>
      <c r="J23" s="528">
        <v>391</v>
      </c>
      <c r="K23" s="23">
        <f>SUM(I23:J23)</f>
        <v>415</v>
      </c>
      <c r="L23" s="528">
        <v>216</v>
      </c>
      <c r="M23" s="82">
        <f>(I23+L23)</f>
        <v>240</v>
      </c>
      <c r="N23" s="528">
        <v>45</v>
      </c>
      <c r="O23" s="528">
        <v>273</v>
      </c>
      <c r="P23" s="133">
        <f t="shared" si="18"/>
        <v>0.87912087912087911</v>
      </c>
      <c r="Q23" s="528">
        <v>124</v>
      </c>
      <c r="R23" s="528">
        <v>0</v>
      </c>
      <c r="S23" s="132">
        <v>1842679</v>
      </c>
      <c r="T23" s="24">
        <f t="shared" si="22"/>
        <v>1842679</v>
      </c>
      <c r="U23" s="132">
        <v>1842679</v>
      </c>
      <c r="V23" s="132">
        <v>0</v>
      </c>
      <c r="W23" s="135">
        <f t="shared" si="19"/>
        <v>0</v>
      </c>
    </row>
    <row r="24" spans="1:23" s="12" customFormat="1">
      <c r="A24" s="539" t="s">
        <v>100</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3">
      <c r="A25" t="s">
        <v>101</v>
      </c>
    </row>
    <row r="26" spans="1:23" s="12" customFormat="1">
      <c r="A26" s="12" t="s">
        <v>102</v>
      </c>
    </row>
    <row r="27" spans="1:23" s="12" customFormat="1">
      <c r="A27" s="12" t="s">
        <v>103</v>
      </c>
    </row>
    <row r="28" spans="1:23" s="12" customFormat="1">
      <c r="A28" s="12" t="s">
        <v>104</v>
      </c>
    </row>
    <row r="29" spans="1:23" s="12" customFormat="1">
      <c r="A29" s="12" t="s">
        <v>105</v>
      </c>
    </row>
    <row r="30" spans="1:23" s="12" customFormat="1">
      <c r="A30" s="509" t="s">
        <v>106</v>
      </c>
    </row>
    <row r="31" spans="1:23">
      <c r="A31" s="12" t="s">
        <v>107</v>
      </c>
      <c r="B31" s="12"/>
      <c r="C31" s="12"/>
      <c r="D31" s="12"/>
      <c r="E31" s="12"/>
      <c r="F31" s="12"/>
      <c r="G31" s="12"/>
      <c r="H31" s="12"/>
      <c r="I31" s="12"/>
      <c r="J31" s="12"/>
      <c r="K31" s="12"/>
      <c r="L31" s="12"/>
      <c r="M31" s="12"/>
      <c r="N31" s="12"/>
      <c r="O31" s="12"/>
      <c r="P31" s="12"/>
      <c r="Q31" s="12"/>
      <c r="R31" s="12"/>
      <c r="S31" s="12"/>
      <c r="T31" s="12"/>
      <c r="U31" s="12"/>
      <c r="V31" s="12"/>
      <c r="W31" s="12"/>
    </row>
    <row r="32" spans="1:23" s="12" customFormat="1">
      <c r="A32" s="12" t="s">
        <v>108</v>
      </c>
    </row>
    <row r="33" spans="1:1" s="12" customFormat="1">
      <c r="A33" s="12" t="s">
        <v>109</v>
      </c>
    </row>
    <row r="34" spans="1:1" s="12" customFormat="1">
      <c r="A34" s="12" t="s">
        <v>110</v>
      </c>
    </row>
    <row r="35" spans="1:1" s="12" customFormat="1"/>
  </sheetData>
  <mergeCells count="1">
    <mergeCell ref="A24:W24"/>
  </mergeCells>
  <printOptions headings="1" gridLines="1"/>
  <pageMargins left="0.5" right="0.5" top="0.5" bottom="0.5" header="0" footer="0"/>
  <pageSetup paperSize="5" scale="66" orientation="landscape"/>
  <legacyDrawing r:id="rId1"/>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L35"/>
  <sheetViews>
    <sheetView zoomScaleNormal="100" workbookViewId="0">
      <selection activeCell="P3" sqref="P3"/>
    </sheetView>
  </sheetViews>
  <sheetFormatPr defaultColWidth="8.85546875" defaultRowHeight="15"/>
  <cols>
    <col min="1" max="1" width="12.285156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0.85546875" bestFit="1" customWidth="1"/>
    <col min="23" max="23" width="12.85546875" bestFit="1" customWidth="1"/>
  </cols>
  <sheetData>
    <row r="1" spans="1:220" s="7" customFormat="1" ht="18.75">
      <c r="A1" s="1" t="s">
        <v>111</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80" customFormat="1">
      <c r="A3" s="105">
        <v>2022</v>
      </c>
      <c r="B3" s="66">
        <v>11</v>
      </c>
      <c r="C3" s="66">
        <v>1.75</v>
      </c>
      <c r="D3" s="106">
        <f t="shared" ref="D3" si="0">SUM(B3:C3)</f>
        <v>12.75</v>
      </c>
      <c r="E3" s="106">
        <f>ROUND((M3/G3), 0)</f>
        <v>24</v>
      </c>
      <c r="F3" s="106">
        <f>ROUND((O3/D3), 0)</f>
        <v>21</v>
      </c>
      <c r="G3" s="66">
        <v>10</v>
      </c>
      <c r="H3" s="66">
        <v>1.75</v>
      </c>
      <c r="I3" s="66">
        <v>83</v>
      </c>
      <c r="J3" s="66">
        <v>332</v>
      </c>
      <c r="K3" s="106">
        <f>SUM(I3:J3)</f>
        <v>415</v>
      </c>
      <c r="L3" s="66">
        <v>159</v>
      </c>
      <c r="M3" s="106">
        <f t="shared" ref="M3" si="1">(I3+L3)</f>
        <v>242</v>
      </c>
      <c r="N3" s="66">
        <v>85</v>
      </c>
      <c r="O3" s="66">
        <v>263</v>
      </c>
      <c r="P3" s="303">
        <f>M3/O3</f>
        <v>0.92015209125475284</v>
      </c>
      <c r="Q3" s="66">
        <v>105</v>
      </c>
      <c r="R3" s="66">
        <v>65</v>
      </c>
      <c r="S3" s="304">
        <v>1504771</v>
      </c>
      <c r="T3" s="297">
        <f>SUM(U3:V3)</f>
        <v>1333402</v>
      </c>
      <c r="U3" s="304">
        <v>1045192</v>
      </c>
      <c r="V3" s="304">
        <v>288210</v>
      </c>
      <c r="W3" s="303">
        <f>V4/T4</f>
        <v>2.3432823748281161E-2</v>
      </c>
    </row>
    <row r="4" spans="1:220" s="14" customFormat="1">
      <c r="A4" s="10">
        <v>2021</v>
      </c>
      <c r="B4" s="17">
        <v>11</v>
      </c>
      <c r="C4" s="17">
        <v>2</v>
      </c>
      <c r="D4" s="23">
        <f>SUM(B4:C4)</f>
        <v>13</v>
      </c>
      <c r="E4" s="82">
        <f>ROUND(N4/B4, 0)</f>
        <v>6</v>
      </c>
      <c r="F4" s="82">
        <f>ROUND((N4/D4), 0)</f>
        <v>5</v>
      </c>
      <c r="G4" s="17">
        <v>10</v>
      </c>
      <c r="H4" s="17">
        <v>2</v>
      </c>
      <c r="I4" s="17">
        <v>81</v>
      </c>
      <c r="J4" s="17">
        <v>272</v>
      </c>
      <c r="K4" s="23">
        <f>SUM(I4:J4)</f>
        <v>353</v>
      </c>
      <c r="L4" s="17">
        <v>126</v>
      </c>
      <c r="M4" s="82">
        <f>(I4+L4)</f>
        <v>207</v>
      </c>
      <c r="N4" s="17">
        <v>66</v>
      </c>
      <c r="O4" s="17">
        <v>226</v>
      </c>
      <c r="P4" s="133">
        <f>M4/O4</f>
        <v>0.91592920353982299</v>
      </c>
      <c r="Q4" s="17">
        <v>73</v>
      </c>
      <c r="R4" s="17">
        <v>29</v>
      </c>
      <c r="S4" s="20">
        <v>1555987</v>
      </c>
      <c r="T4" s="24">
        <f t="shared" ref="T4" si="2">SUM(U4:V4)</f>
        <v>1607190</v>
      </c>
      <c r="U4" s="20">
        <v>1569529</v>
      </c>
      <c r="V4" s="20">
        <v>37661</v>
      </c>
      <c r="W4" s="135">
        <f>V4/T4</f>
        <v>2.3432823748281161E-2</v>
      </c>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row>
    <row r="5" spans="1:220" s="14" customFormat="1">
      <c r="A5" s="10">
        <v>2020</v>
      </c>
      <c r="B5" s="17">
        <v>9</v>
      </c>
      <c r="C5" s="17">
        <v>7</v>
      </c>
      <c r="D5" s="23">
        <f>SUM(B5:C5)</f>
        <v>16</v>
      </c>
      <c r="E5" s="82">
        <f>ROUND((O5/B5), 0)</f>
        <v>17</v>
      </c>
      <c r="F5" s="82">
        <f>ROUND((O5/D5), 0)</f>
        <v>10</v>
      </c>
      <c r="G5" s="17">
        <v>8</v>
      </c>
      <c r="H5" s="17">
        <v>7</v>
      </c>
      <c r="I5" s="17">
        <v>55</v>
      </c>
      <c r="J5" s="17">
        <v>183</v>
      </c>
      <c r="K5" s="23">
        <f t="shared" ref="K5" si="3">SUM(I5:J5)</f>
        <v>238</v>
      </c>
      <c r="L5" s="17">
        <v>83</v>
      </c>
      <c r="M5" s="82">
        <f>(I5+L5)</f>
        <v>138</v>
      </c>
      <c r="N5" s="17">
        <v>53</v>
      </c>
      <c r="O5" s="17">
        <v>153</v>
      </c>
      <c r="P5" s="133">
        <f t="shared" ref="P5" si="4">M5/O5</f>
        <v>0.90196078431372551</v>
      </c>
      <c r="Q5" s="17">
        <v>43</v>
      </c>
      <c r="R5" s="17">
        <v>22</v>
      </c>
      <c r="S5" s="20">
        <v>986985</v>
      </c>
      <c r="T5" s="24">
        <f>SUM(U5:V5)</f>
        <v>1340045</v>
      </c>
      <c r="U5" s="20">
        <v>1340045</v>
      </c>
      <c r="V5" s="20">
        <v>0</v>
      </c>
      <c r="W5" s="135">
        <f t="shared" ref="W5" si="5">V5/T5</f>
        <v>0</v>
      </c>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row>
    <row r="6" spans="1:220" s="14" customFormat="1">
      <c r="A6" s="10">
        <v>2019</v>
      </c>
      <c r="B6" s="17">
        <v>8</v>
      </c>
      <c r="C6" s="17">
        <v>6</v>
      </c>
      <c r="D6" s="23">
        <f>SUM(B6:C6)</f>
        <v>14</v>
      </c>
      <c r="E6" s="82">
        <f>ROUND((O6/B6), 0)</f>
        <v>13</v>
      </c>
      <c r="F6" s="82">
        <f>ROUND((O6/D6), 0)</f>
        <v>8</v>
      </c>
      <c r="G6" s="17">
        <v>8</v>
      </c>
      <c r="H6" s="17">
        <v>6</v>
      </c>
      <c r="I6" s="17">
        <v>39</v>
      </c>
      <c r="J6" s="17">
        <v>146</v>
      </c>
      <c r="K6" s="23">
        <f t="shared" ref="K6" si="6">SUM(I6:J6)</f>
        <v>185</v>
      </c>
      <c r="L6" s="17">
        <v>62</v>
      </c>
      <c r="M6" s="82">
        <f>(I6+L6)</f>
        <v>101</v>
      </c>
      <c r="N6" s="17">
        <v>43</v>
      </c>
      <c r="O6" s="17">
        <v>106</v>
      </c>
      <c r="P6" s="133">
        <f t="shared" ref="P6" si="7">M6/O6</f>
        <v>0.95283018867924529</v>
      </c>
      <c r="Q6" s="17">
        <v>78</v>
      </c>
      <c r="R6" s="17">
        <v>38</v>
      </c>
      <c r="S6" s="20">
        <v>904020</v>
      </c>
      <c r="T6" s="24">
        <f>SUM(U6:V6)</f>
        <v>1268955</v>
      </c>
      <c r="U6" s="20">
        <v>1185740</v>
      </c>
      <c r="V6" s="20">
        <v>83215</v>
      </c>
      <c r="W6" s="135">
        <f t="shared" ref="W6" si="8">V6/T6</f>
        <v>6.5577581553325368E-2</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8</v>
      </c>
      <c r="C7" s="17">
        <v>2</v>
      </c>
      <c r="D7" s="23">
        <f>SUM(B7:C7)</f>
        <v>10</v>
      </c>
      <c r="E7" s="82">
        <f>ROUND((O7/B7), 0)</f>
        <v>14</v>
      </c>
      <c r="F7" s="82">
        <f>ROUND((O7/D7), 0)</f>
        <v>11</v>
      </c>
      <c r="G7" s="17">
        <v>8</v>
      </c>
      <c r="H7" s="17">
        <v>2</v>
      </c>
      <c r="I7" s="17">
        <v>53</v>
      </c>
      <c r="J7" s="17">
        <v>136</v>
      </c>
      <c r="K7" s="23">
        <f t="shared" ref="K7" si="9">SUM(I7:J7)</f>
        <v>189</v>
      </c>
      <c r="L7" s="17">
        <v>56</v>
      </c>
      <c r="M7" s="82">
        <f>(I7+L7)</f>
        <v>109</v>
      </c>
      <c r="N7" s="17">
        <v>45</v>
      </c>
      <c r="O7" s="17">
        <v>113</v>
      </c>
      <c r="P7" s="133">
        <f>M7/O7</f>
        <v>0.96460176991150437</v>
      </c>
      <c r="Q7" s="17">
        <v>57</v>
      </c>
      <c r="R7" s="17">
        <v>6</v>
      </c>
      <c r="S7" s="20">
        <v>827247</v>
      </c>
      <c r="T7" s="24">
        <f>SUM(U7:V7)</f>
        <v>1172857</v>
      </c>
      <c r="U7" s="20">
        <v>1069187</v>
      </c>
      <c r="V7" s="20">
        <v>103670</v>
      </c>
      <c r="W7" s="135">
        <f>V7/T7</f>
        <v>8.8390997367965574E-2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8</v>
      </c>
      <c r="C8" s="17">
        <v>1</v>
      </c>
      <c r="D8" s="27">
        <f>SUM(B8:C8)</f>
        <v>9</v>
      </c>
      <c r="E8" s="27">
        <f>ROUND((O8/B8), 0)</f>
        <v>16</v>
      </c>
      <c r="F8" s="27">
        <f>ROUND((O8/D8), 0)</f>
        <v>14</v>
      </c>
      <c r="G8" s="17">
        <v>8</v>
      </c>
      <c r="H8" s="17">
        <v>1</v>
      </c>
      <c r="I8" s="17">
        <v>67</v>
      </c>
      <c r="J8" s="17">
        <v>117</v>
      </c>
      <c r="K8" s="27">
        <f>SUM(I8:J8)</f>
        <v>184</v>
      </c>
      <c r="L8" s="17">
        <v>49</v>
      </c>
      <c r="M8" s="29">
        <f>(I8+L8)</f>
        <v>116</v>
      </c>
      <c r="N8" s="255">
        <v>52</v>
      </c>
      <c r="O8" s="255">
        <v>124</v>
      </c>
      <c r="P8" s="133">
        <f t="shared" ref="P8:P23" si="10">M8/O8</f>
        <v>0.93548387096774188</v>
      </c>
      <c r="Q8" s="17">
        <v>40</v>
      </c>
      <c r="R8" s="17">
        <v>0</v>
      </c>
      <c r="S8" s="223">
        <v>719890</v>
      </c>
      <c r="T8" s="28">
        <f>SUM(U8:V8)</f>
        <v>997197</v>
      </c>
      <c r="U8" s="252">
        <v>950970</v>
      </c>
      <c r="V8" s="20">
        <v>46227</v>
      </c>
      <c r="W8" s="135">
        <f t="shared" ref="W8:W23" si="11">V8/T8</f>
        <v>4.6356938498611611E-2</v>
      </c>
    </row>
    <row r="9" spans="1:220" s="72" customFormat="1">
      <c r="A9" s="10">
        <v>2016</v>
      </c>
      <c r="B9" s="54">
        <v>8</v>
      </c>
      <c r="C9" s="54">
        <v>0.25</v>
      </c>
      <c r="D9" s="180">
        <f>B9+C9</f>
        <v>8.25</v>
      </c>
      <c r="E9" s="181">
        <f>ROUND((O9/B9), 0)</f>
        <v>11</v>
      </c>
      <c r="F9" s="181">
        <f>ROUND((O9/D9), 0)</f>
        <v>11</v>
      </c>
      <c r="G9" s="66">
        <v>8</v>
      </c>
      <c r="H9" s="66">
        <v>0.25</v>
      </c>
      <c r="I9" s="54">
        <v>47</v>
      </c>
      <c r="J9" s="54">
        <v>98</v>
      </c>
      <c r="K9" s="180">
        <f>I9+J9</f>
        <v>145</v>
      </c>
      <c r="L9" s="54">
        <v>40</v>
      </c>
      <c r="M9" s="181">
        <f>I9+L9</f>
        <v>87</v>
      </c>
      <c r="N9" s="54">
        <v>26</v>
      </c>
      <c r="O9" s="54">
        <v>87</v>
      </c>
      <c r="P9" s="133">
        <f t="shared" si="10"/>
        <v>1</v>
      </c>
      <c r="Q9" s="54">
        <v>38</v>
      </c>
      <c r="R9" s="54">
        <v>0</v>
      </c>
      <c r="S9" s="61">
        <v>718072</v>
      </c>
      <c r="T9" s="182">
        <f>SUM(U9:V9)</f>
        <v>987594</v>
      </c>
      <c r="U9" s="61">
        <v>912104</v>
      </c>
      <c r="V9" s="61">
        <v>75490</v>
      </c>
      <c r="W9" s="135">
        <f t="shared" si="11"/>
        <v>7.6438293468773608E-2</v>
      </c>
    </row>
    <row r="10" spans="1:220">
      <c r="A10" s="15">
        <v>2015</v>
      </c>
      <c r="B10" s="70">
        <v>8</v>
      </c>
      <c r="C10" s="70">
        <v>0.5</v>
      </c>
      <c r="D10" s="65">
        <v>8.5</v>
      </c>
      <c r="E10" s="65">
        <v>10.5</v>
      </c>
      <c r="F10" s="65">
        <v>9.9</v>
      </c>
      <c r="G10" s="119"/>
      <c r="H10" s="119"/>
      <c r="I10" s="70">
        <v>38</v>
      </c>
      <c r="J10" s="70">
        <v>81</v>
      </c>
      <c r="K10" s="65">
        <v>119</v>
      </c>
      <c r="L10" s="70">
        <v>34</v>
      </c>
      <c r="M10" s="65">
        <v>72</v>
      </c>
      <c r="N10" s="70">
        <v>22</v>
      </c>
      <c r="O10" s="70">
        <v>84</v>
      </c>
      <c r="P10" s="133">
        <f t="shared" si="10"/>
        <v>0.8571428571428571</v>
      </c>
      <c r="Q10" s="70">
        <v>64</v>
      </c>
      <c r="R10" s="70">
        <v>0</v>
      </c>
      <c r="S10" s="78">
        <v>1414405</v>
      </c>
      <c r="T10" s="79">
        <v>1100585</v>
      </c>
      <c r="U10" s="78">
        <v>1006640</v>
      </c>
      <c r="V10" s="78">
        <v>93945</v>
      </c>
      <c r="W10" s="135">
        <f t="shared" si="11"/>
        <v>8.5359149906640563E-2</v>
      </c>
    </row>
    <row r="11" spans="1:220">
      <c r="A11" s="15">
        <v>2014</v>
      </c>
      <c r="B11" s="70">
        <v>8</v>
      </c>
      <c r="C11" s="70">
        <v>0.5</v>
      </c>
      <c r="D11" s="65">
        <v>8.5</v>
      </c>
      <c r="E11" s="65">
        <v>10.3</v>
      </c>
      <c r="F11" s="65">
        <v>9.6</v>
      </c>
      <c r="G11" s="119"/>
      <c r="H11" s="119"/>
      <c r="I11" s="70">
        <v>45</v>
      </c>
      <c r="J11" s="70">
        <v>81</v>
      </c>
      <c r="K11" s="65">
        <v>126</v>
      </c>
      <c r="L11" s="70">
        <v>32</v>
      </c>
      <c r="M11" s="65">
        <v>77</v>
      </c>
      <c r="N11" s="70">
        <v>20</v>
      </c>
      <c r="O11" s="70">
        <v>82</v>
      </c>
      <c r="P11" s="133">
        <f t="shared" si="10"/>
        <v>0.93902439024390238</v>
      </c>
      <c r="Q11" s="70">
        <v>57</v>
      </c>
      <c r="R11" s="70">
        <v>0</v>
      </c>
      <c r="S11" s="78">
        <v>1629770</v>
      </c>
      <c r="T11" s="79">
        <v>1359684</v>
      </c>
      <c r="U11" s="78">
        <v>1308585</v>
      </c>
      <c r="V11" s="78">
        <v>51099</v>
      </c>
      <c r="W11" s="135">
        <f t="shared" si="11"/>
        <v>3.7581526295815793E-2</v>
      </c>
    </row>
    <row r="12" spans="1:220">
      <c r="A12" s="186">
        <v>2013</v>
      </c>
      <c r="B12" s="183">
        <v>10</v>
      </c>
      <c r="C12" s="183">
        <v>0.5</v>
      </c>
      <c r="D12" s="180">
        <f>B12+C12</f>
        <v>10.5</v>
      </c>
      <c r="E12" s="181">
        <f t="shared" ref="E12:E23" si="12">ROUND((O12/B12), 0)</f>
        <v>10</v>
      </c>
      <c r="F12" s="181">
        <f t="shared" ref="F12:F23" si="13">ROUND((O12/D12), 0)</f>
        <v>9</v>
      </c>
      <c r="G12" s="184"/>
      <c r="H12" s="184"/>
      <c r="I12" s="183">
        <v>56</v>
      </c>
      <c r="J12" s="183">
        <v>83</v>
      </c>
      <c r="K12" s="180">
        <f>I12+J12</f>
        <v>139</v>
      </c>
      <c r="L12" s="183">
        <v>35</v>
      </c>
      <c r="M12" s="181">
        <f>I12+L12</f>
        <v>91</v>
      </c>
      <c r="N12" s="183">
        <v>14</v>
      </c>
      <c r="O12" s="183">
        <v>99</v>
      </c>
      <c r="P12" s="133">
        <f t="shared" si="10"/>
        <v>0.91919191919191923</v>
      </c>
      <c r="Q12" s="183">
        <v>60</v>
      </c>
      <c r="R12" s="183">
        <v>0</v>
      </c>
      <c r="S12" s="185">
        <v>1281263</v>
      </c>
      <c r="T12" s="182">
        <f t="shared" ref="T12:T23" si="14">SUM(U12:V12)</f>
        <v>993543</v>
      </c>
      <c r="U12" s="185">
        <v>884492</v>
      </c>
      <c r="V12" s="185">
        <v>109051</v>
      </c>
      <c r="W12" s="135">
        <f t="shared" si="11"/>
        <v>0.1097597185023698</v>
      </c>
    </row>
    <row r="13" spans="1:220">
      <c r="A13" s="15">
        <v>2012</v>
      </c>
      <c r="B13" s="528">
        <v>10</v>
      </c>
      <c r="C13" s="528">
        <v>0.25</v>
      </c>
      <c r="D13" s="23">
        <f>B13+C13</f>
        <v>10.25</v>
      </c>
      <c r="E13" s="82">
        <f t="shared" si="12"/>
        <v>12</v>
      </c>
      <c r="F13" s="82">
        <f t="shared" si="13"/>
        <v>11</v>
      </c>
      <c r="G13" s="85"/>
      <c r="H13" s="85"/>
      <c r="I13" s="528">
        <v>66</v>
      </c>
      <c r="J13" s="528">
        <v>89</v>
      </c>
      <c r="K13" s="23">
        <f>I13+J13</f>
        <v>155</v>
      </c>
      <c r="L13" s="528">
        <v>35</v>
      </c>
      <c r="M13" s="82">
        <f>I13+L13</f>
        <v>101</v>
      </c>
      <c r="N13" s="528">
        <v>23</v>
      </c>
      <c r="O13" s="528">
        <v>115</v>
      </c>
      <c r="P13" s="133">
        <f t="shared" si="10"/>
        <v>0.87826086956521743</v>
      </c>
      <c r="Q13" s="528">
        <v>75</v>
      </c>
      <c r="R13" s="528">
        <v>0</v>
      </c>
      <c r="S13" s="84">
        <v>1291049.02</v>
      </c>
      <c r="T13" s="24">
        <f t="shared" si="14"/>
        <v>1381966.5699999998</v>
      </c>
      <c r="U13" s="84">
        <v>1046734</v>
      </c>
      <c r="V13" s="84">
        <v>335232.56999999995</v>
      </c>
      <c r="W13" s="135">
        <f t="shared" si="11"/>
        <v>0.24257646840183694</v>
      </c>
    </row>
    <row r="14" spans="1:220">
      <c r="A14" s="15">
        <v>2011</v>
      </c>
      <c r="B14" s="528">
        <v>10</v>
      </c>
      <c r="C14" s="528">
        <v>0</v>
      </c>
      <c r="D14" s="23">
        <f t="shared" ref="D14:D23" si="15">SUM(B14:C14)</f>
        <v>10</v>
      </c>
      <c r="E14" s="82">
        <f t="shared" si="12"/>
        <v>12</v>
      </c>
      <c r="F14" s="82">
        <f t="shared" si="13"/>
        <v>12</v>
      </c>
      <c r="G14" s="85"/>
      <c r="H14" s="85"/>
      <c r="I14" s="528">
        <v>68</v>
      </c>
      <c r="J14" s="528">
        <v>99</v>
      </c>
      <c r="K14" s="23">
        <f t="shared" ref="K14:K23" si="16">SUM(I14:J14)</f>
        <v>167</v>
      </c>
      <c r="L14" s="528">
        <v>40</v>
      </c>
      <c r="M14" s="82">
        <f t="shared" ref="M14:M23" si="17">(I14+L14)</f>
        <v>108</v>
      </c>
      <c r="N14" s="528">
        <v>28</v>
      </c>
      <c r="O14" s="528">
        <v>123</v>
      </c>
      <c r="P14" s="133">
        <f t="shared" si="10"/>
        <v>0.87804878048780488</v>
      </c>
      <c r="Q14" s="528">
        <v>66</v>
      </c>
      <c r="R14" s="528">
        <v>1</v>
      </c>
      <c r="S14" s="84">
        <v>1487862</v>
      </c>
      <c r="T14" s="24">
        <f t="shared" si="14"/>
        <v>1487874.77</v>
      </c>
      <c r="U14" s="84">
        <v>1105010.71</v>
      </c>
      <c r="V14" s="84">
        <v>382864.06</v>
      </c>
      <c r="W14" s="135">
        <f t="shared" si="11"/>
        <v>0.25732277186204322</v>
      </c>
    </row>
    <row r="15" spans="1:220">
      <c r="A15" s="15">
        <v>2010</v>
      </c>
      <c r="B15" s="528">
        <v>10</v>
      </c>
      <c r="C15" s="528">
        <v>0.5</v>
      </c>
      <c r="D15" s="23">
        <f t="shared" si="15"/>
        <v>10.5</v>
      </c>
      <c r="E15" s="82">
        <f t="shared" si="12"/>
        <v>14</v>
      </c>
      <c r="F15" s="82">
        <f t="shared" si="13"/>
        <v>13</v>
      </c>
      <c r="G15" s="85"/>
      <c r="H15" s="85"/>
      <c r="I15" s="528">
        <v>76</v>
      </c>
      <c r="J15" s="528">
        <v>112</v>
      </c>
      <c r="K15" s="23">
        <f t="shared" si="16"/>
        <v>188</v>
      </c>
      <c r="L15" s="528">
        <v>44.8</v>
      </c>
      <c r="M15" s="82">
        <f t="shared" si="17"/>
        <v>120.8</v>
      </c>
      <c r="N15" s="528">
        <v>25</v>
      </c>
      <c r="O15" s="528">
        <v>137.60000000000002</v>
      </c>
      <c r="P15" s="133">
        <f t="shared" si="10"/>
        <v>0.87790697674418583</v>
      </c>
      <c r="Q15" s="528">
        <v>58</v>
      </c>
      <c r="R15" s="528">
        <v>0</v>
      </c>
      <c r="S15" s="84">
        <v>1309748.08</v>
      </c>
      <c r="T15" s="24">
        <f t="shared" si="14"/>
        <v>1027992</v>
      </c>
      <c r="U15" s="84">
        <v>912842</v>
      </c>
      <c r="V15" s="84">
        <v>115150</v>
      </c>
      <c r="W15" s="135">
        <f t="shared" si="11"/>
        <v>0.11201449038513918</v>
      </c>
    </row>
    <row r="16" spans="1:220">
      <c r="A16" s="15">
        <v>2009</v>
      </c>
      <c r="B16" s="528">
        <v>11</v>
      </c>
      <c r="C16" s="528">
        <v>0</v>
      </c>
      <c r="D16" s="23">
        <f t="shared" si="15"/>
        <v>11</v>
      </c>
      <c r="E16" s="82">
        <f t="shared" si="12"/>
        <v>10</v>
      </c>
      <c r="F16" s="82">
        <f t="shared" si="13"/>
        <v>10</v>
      </c>
      <c r="G16" s="85"/>
      <c r="H16" s="85"/>
      <c r="I16" s="528">
        <v>58</v>
      </c>
      <c r="J16" s="528">
        <v>101</v>
      </c>
      <c r="K16" s="23">
        <f t="shared" si="16"/>
        <v>159</v>
      </c>
      <c r="L16" s="528">
        <v>39.299999999999997</v>
      </c>
      <c r="M16" s="82">
        <f t="shared" si="17"/>
        <v>97.3</v>
      </c>
      <c r="N16" s="528">
        <v>19</v>
      </c>
      <c r="O16" s="528">
        <v>114.1</v>
      </c>
      <c r="P16" s="133">
        <f t="shared" si="10"/>
        <v>0.85276073619631909</v>
      </c>
      <c r="Q16" s="528">
        <v>50</v>
      </c>
      <c r="R16" s="528">
        <v>2</v>
      </c>
      <c r="S16" s="84">
        <v>1386272.77</v>
      </c>
      <c r="T16" s="24">
        <f t="shared" si="14"/>
        <v>1386272.77</v>
      </c>
      <c r="U16" s="84">
        <v>1317192.1399999999</v>
      </c>
      <c r="V16" s="84">
        <v>69080.63</v>
      </c>
      <c r="W16" s="135">
        <f t="shared" si="11"/>
        <v>4.9831917278444417E-2</v>
      </c>
    </row>
    <row r="17" spans="1:23">
      <c r="A17" s="15">
        <v>2008</v>
      </c>
      <c r="B17" s="528">
        <v>11</v>
      </c>
      <c r="C17" s="528">
        <v>0</v>
      </c>
      <c r="D17" s="23">
        <f t="shared" si="15"/>
        <v>11</v>
      </c>
      <c r="E17" s="82">
        <f t="shared" si="12"/>
        <v>11</v>
      </c>
      <c r="F17" s="82">
        <f t="shared" si="13"/>
        <v>11</v>
      </c>
      <c r="G17" s="85"/>
      <c r="H17" s="85"/>
      <c r="I17" s="528">
        <v>66</v>
      </c>
      <c r="J17" s="528">
        <v>109</v>
      </c>
      <c r="K17" s="23">
        <f t="shared" si="16"/>
        <v>175</v>
      </c>
      <c r="L17" s="528">
        <v>54.2</v>
      </c>
      <c r="M17" s="82">
        <f t="shared" si="17"/>
        <v>120.2</v>
      </c>
      <c r="N17" s="528">
        <v>22</v>
      </c>
      <c r="O17" s="528">
        <v>120</v>
      </c>
      <c r="P17" s="133">
        <f t="shared" si="10"/>
        <v>1.0016666666666667</v>
      </c>
      <c r="Q17" s="528">
        <v>61</v>
      </c>
      <c r="R17" s="528">
        <v>0</v>
      </c>
      <c r="S17" s="84">
        <v>1390585</v>
      </c>
      <c r="T17" s="24">
        <f t="shared" si="14"/>
        <v>1390585</v>
      </c>
      <c r="U17" s="84">
        <v>1300107</v>
      </c>
      <c r="V17" s="84">
        <v>90478</v>
      </c>
      <c r="W17" s="135">
        <f t="shared" si="11"/>
        <v>6.5064702984715062E-2</v>
      </c>
    </row>
    <row r="18" spans="1:23">
      <c r="A18" s="15">
        <v>2007</v>
      </c>
      <c r="B18" s="528">
        <v>11</v>
      </c>
      <c r="C18" s="528">
        <v>0.33</v>
      </c>
      <c r="D18" s="82">
        <f t="shared" si="15"/>
        <v>11.33</v>
      </c>
      <c r="E18" s="82">
        <f t="shared" si="12"/>
        <v>10</v>
      </c>
      <c r="F18" s="82">
        <f t="shared" si="13"/>
        <v>10</v>
      </c>
      <c r="G18" s="85"/>
      <c r="H18" s="85"/>
      <c r="I18" s="528">
        <v>64</v>
      </c>
      <c r="J18" s="528">
        <v>91</v>
      </c>
      <c r="K18" s="23">
        <f t="shared" si="16"/>
        <v>155</v>
      </c>
      <c r="L18" s="528">
        <v>47.7</v>
      </c>
      <c r="M18" s="82">
        <f t="shared" si="17"/>
        <v>111.7</v>
      </c>
      <c r="N18" s="528">
        <v>23</v>
      </c>
      <c r="O18" s="528">
        <v>114</v>
      </c>
      <c r="P18" s="133">
        <f t="shared" si="10"/>
        <v>0.97982456140350882</v>
      </c>
      <c r="Q18" s="528">
        <v>57</v>
      </c>
      <c r="R18" s="528">
        <v>1</v>
      </c>
      <c r="S18" s="132">
        <v>1265859</v>
      </c>
      <c r="T18" s="24">
        <f t="shared" si="14"/>
        <v>1265859</v>
      </c>
      <c r="U18" s="179">
        <v>1162461</v>
      </c>
      <c r="V18" s="132">
        <v>103398</v>
      </c>
      <c r="W18" s="135">
        <f t="shared" si="11"/>
        <v>8.1682083075603207E-2</v>
      </c>
    </row>
    <row r="19" spans="1:23">
      <c r="A19" s="15">
        <v>2006</v>
      </c>
      <c r="B19" s="528">
        <v>11</v>
      </c>
      <c r="C19" s="528">
        <v>0.5</v>
      </c>
      <c r="D19" s="82">
        <f t="shared" si="15"/>
        <v>11.5</v>
      </c>
      <c r="E19" s="82">
        <f t="shared" si="12"/>
        <v>10</v>
      </c>
      <c r="F19" s="82">
        <f t="shared" si="13"/>
        <v>10</v>
      </c>
      <c r="G19" s="85"/>
      <c r="H19" s="85"/>
      <c r="I19" s="528">
        <v>63</v>
      </c>
      <c r="J19" s="528">
        <v>99</v>
      </c>
      <c r="K19" s="23">
        <f t="shared" si="16"/>
        <v>162</v>
      </c>
      <c r="L19" s="528">
        <v>50</v>
      </c>
      <c r="M19" s="82">
        <f t="shared" si="17"/>
        <v>113</v>
      </c>
      <c r="N19" s="528">
        <v>19</v>
      </c>
      <c r="O19" s="528">
        <v>114</v>
      </c>
      <c r="P19" s="133">
        <f t="shared" si="10"/>
        <v>0.99122807017543857</v>
      </c>
      <c r="Q19" s="528">
        <v>59</v>
      </c>
      <c r="R19" s="528">
        <v>0</v>
      </c>
      <c r="S19" s="132">
        <v>1171972</v>
      </c>
      <c r="T19" s="24">
        <f t="shared" si="14"/>
        <v>1171972</v>
      </c>
      <c r="U19" s="132">
        <v>1125929</v>
      </c>
      <c r="V19" s="132">
        <v>46043</v>
      </c>
      <c r="W19" s="135">
        <f t="shared" si="11"/>
        <v>3.9286774769363091E-2</v>
      </c>
    </row>
    <row r="20" spans="1:23">
      <c r="A20" s="15">
        <v>2005</v>
      </c>
      <c r="B20" s="528">
        <v>11</v>
      </c>
      <c r="C20" s="528">
        <v>1</v>
      </c>
      <c r="D20" s="82">
        <f t="shared" si="15"/>
        <v>12</v>
      </c>
      <c r="E20" s="82">
        <f t="shared" si="12"/>
        <v>10</v>
      </c>
      <c r="F20" s="82">
        <f t="shared" si="13"/>
        <v>9</v>
      </c>
      <c r="G20" s="85"/>
      <c r="H20" s="85"/>
      <c r="I20" s="528">
        <v>68</v>
      </c>
      <c r="J20" s="528">
        <v>90</v>
      </c>
      <c r="K20" s="23">
        <f t="shared" si="16"/>
        <v>158</v>
      </c>
      <c r="L20" s="528">
        <v>44</v>
      </c>
      <c r="M20" s="82">
        <f t="shared" si="17"/>
        <v>112</v>
      </c>
      <c r="N20" s="528">
        <v>20</v>
      </c>
      <c r="O20" s="528">
        <v>113</v>
      </c>
      <c r="P20" s="133">
        <f t="shared" si="10"/>
        <v>0.99115044247787609</v>
      </c>
      <c r="Q20" s="528">
        <v>75</v>
      </c>
      <c r="R20" s="528">
        <v>3</v>
      </c>
      <c r="S20" s="132">
        <v>1163295</v>
      </c>
      <c r="T20" s="24">
        <f t="shared" si="14"/>
        <v>1163295</v>
      </c>
      <c r="U20" s="132">
        <v>1109322</v>
      </c>
      <c r="V20" s="132">
        <v>53973</v>
      </c>
      <c r="W20" s="135">
        <f t="shared" si="11"/>
        <v>4.6396657769525354E-2</v>
      </c>
    </row>
    <row r="21" spans="1:23">
      <c r="A21" s="15">
        <v>2004</v>
      </c>
      <c r="B21" s="528">
        <v>11</v>
      </c>
      <c r="C21" s="528">
        <v>0.5</v>
      </c>
      <c r="D21" s="82">
        <f t="shared" si="15"/>
        <v>11.5</v>
      </c>
      <c r="E21" s="82">
        <f t="shared" si="12"/>
        <v>11</v>
      </c>
      <c r="F21" s="82">
        <f t="shared" si="13"/>
        <v>11</v>
      </c>
      <c r="G21" s="85"/>
      <c r="H21" s="85"/>
      <c r="I21" s="528">
        <v>67</v>
      </c>
      <c r="J21" s="528">
        <v>105</v>
      </c>
      <c r="K21" s="23">
        <f t="shared" si="16"/>
        <v>172</v>
      </c>
      <c r="L21" s="131">
        <v>51.2</v>
      </c>
      <c r="M21" s="82">
        <f t="shared" si="17"/>
        <v>118.2</v>
      </c>
      <c r="N21" s="528">
        <v>20</v>
      </c>
      <c r="O21" s="528">
        <v>122.2</v>
      </c>
      <c r="P21" s="133">
        <f t="shared" si="10"/>
        <v>0.96726677577741405</v>
      </c>
      <c r="Q21" s="528">
        <v>76</v>
      </c>
      <c r="R21" s="528">
        <v>0</v>
      </c>
      <c r="S21" s="132">
        <v>1103432</v>
      </c>
      <c r="T21" s="24">
        <f t="shared" si="14"/>
        <v>1103705</v>
      </c>
      <c r="U21" s="132">
        <v>1058736</v>
      </c>
      <c r="V21" s="132">
        <v>44969</v>
      </c>
      <c r="W21" s="135">
        <f t="shared" si="11"/>
        <v>4.0743676978902875E-2</v>
      </c>
    </row>
    <row r="22" spans="1:23" ht="15" customHeight="1">
      <c r="A22" s="15">
        <v>2003</v>
      </c>
      <c r="B22" s="528">
        <v>10</v>
      </c>
      <c r="C22" s="528">
        <v>1</v>
      </c>
      <c r="D22" s="23">
        <f t="shared" si="15"/>
        <v>11</v>
      </c>
      <c r="E22" s="82">
        <f t="shared" si="12"/>
        <v>15</v>
      </c>
      <c r="F22" s="82">
        <f t="shared" si="13"/>
        <v>13</v>
      </c>
      <c r="G22" s="85"/>
      <c r="H22" s="85"/>
      <c r="I22" s="528">
        <v>76</v>
      </c>
      <c r="J22" s="528">
        <v>112</v>
      </c>
      <c r="K22" s="23">
        <f t="shared" si="16"/>
        <v>188</v>
      </c>
      <c r="L22" s="528">
        <v>54</v>
      </c>
      <c r="M22" s="82">
        <f t="shared" si="17"/>
        <v>130</v>
      </c>
      <c r="N22" s="528">
        <v>29</v>
      </c>
      <c r="O22" s="528">
        <v>148</v>
      </c>
      <c r="P22" s="133">
        <f t="shared" si="10"/>
        <v>0.8783783783783784</v>
      </c>
      <c r="Q22" s="528">
        <v>51</v>
      </c>
      <c r="R22" s="528">
        <v>1</v>
      </c>
      <c r="S22" s="132">
        <v>1175019</v>
      </c>
      <c r="T22" s="24">
        <f t="shared" si="14"/>
        <v>1175019</v>
      </c>
      <c r="U22" s="132">
        <v>1034454</v>
      </c>
      <c r="V22" s="132">
        <v>140565</v>
      </c>
      <c r="W22" s="135">
        <f t="shared" si="11"/>
        <v>0.11962785282620962</v>
      </c>
    </row>
    <row r="23" spans="1:23" ht="14.45" customHeight="1">
      <c r="A23" s="15">
        <v>2002</v>
      </c>
      <c r="B23" s="528">
        <v>10</v>
      </c>
      <c r="C23" s="528">
        <f>ROUND(0.25, 0)</f>
        <v>0</v>
      </c>
      <c r="D23" s="23">
        <f t="shared" si="15"/>
        <v>10</v>
      </c>
      <c r="E23" s="82">
        <f t="shared" si="12"/>
        <v>11</v>
      </c>
      <c r="F23" s="82">
        <f t="shared" si="13"/>
        <v>11</v>
      </c>
      <c r="G23" s="85"/>
      <c r="H23" s="85"/>
      <c r="I23" s="528">
        <v>53</v>
      </c>
      <c r="J23" s="528">
        <v>115</v>
      </c>
      <c r="K23" s="23">
        <f t="shared" si="16"/>
        <v>168</v>
      </c>
      <c r="L23" s="528">
        <f>ROUND(53.6, 0)</f>
        <v>54</v>
      </c>
      <c r="M23" s="82">
        <f t="shared" si="17"/>
        <v>107</v>
      </c>
      <c r="N23" s="528">
        <v>26</v>
      </c>
      <c r="O23" s="528">
        <f>ROUND(107.9, 0)</f>
        <v>108</v>
      </c>
      <c r="P23" s="133">
        <f t="shared" si="10"/>
        <v>0.9907407407407407</v>
      </c>
      <c r="Q23" s="528">
        <v>62</v>
      </c>
      <c r="R23" s="528">
        <v>2</v>
      </c>
      <c r="S23" s="132">
        <v>1033827</v>
      </c>
      <c r="T23" s="24">
        <f t="shared" si="14"/>
        <v>1033827</v>
      </c>
      <c r="U23" s="132">
        <v>1005176</v>
      </c>
      <c r="V23" s="132">
        <v>28651</v>
      </c>
      <c r="W23" s="135">
        <f t="shared" si="11"/>
        <v>2.7713534276044251E-2</v>
      </c>
    </row>
    <row r="24" spans="1:23">
      <c r="A24" s="537" t="s">
        <v>112</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3">
      <c r="A25" s="538" t="s">
        <v>113</v>
      </c>
      <c r="B25" s="538"/>
      <c r="C25" s="538"/>
      <c r="D25" s="538"/>
      <c r="E25" s="538"/>
      <c r="F25" s="538"/>
      <c r="G25" s="538"/>
      <c r="H25" s="538"/>
      <c r="I25" s="538"/>
      <c r="J25" s="538"/>
      <c r="K25" s="538"/>
      <c r="L25" s="538"/>
      <c r="M25" s="538"/>
      <c r="N25" s="538"/>
      <c r="O25" s="538"/>
      <c r="P25" s="538"/>
      <c r="Q25" s="538"/>
      <c r="R25" s="538"/>
      <c r="S25" s="538"/>
      <c r="T25" s="538"/>
      <c r="U25" s="538"/>
      <c r="V25" s="538"/>
      <c r="W25" s="538"/>
    </row>
    <row r="26" spans="1:23">
      <c r="A26" s="538" t="s">
        <v>114</v>
      </c>
      <c r="B26" s="538"/>
      <c r="C26" s="538"/>
      <c r="D26" s="538"/>
      <c r="E26" s="538"/>
      <c r="F26" s="538"/>
      <c r="G26" s="538"/>
      <c r="H26" s="538"/>
      <c r="I26" s="538"/>
      <c r="J26" s="538"/>
      <c r="K26" s="538"/>
      <c r="L26" s="538"/>
      <c r="M26" s="538"/>
      <c r="N26" s="538"/>
      <c r="O26" s="538"/>
      <c r="P26" s="538"/>
      <c r="Q26" s="538"/>
      <c r="R26" s="538"/>
      <c r="S26" s="538"/>
      <c r="T26" s="538"/>
      <c r="U26" s="538"/>
      <c r="V26" s="538"/>
      <c r="W26" s="538"/>
    </row>
    <row r="27" spans="1:23" s="12" customFormat="1">
      <c r="A27" s="539" t="s">
        <v>115</v>
      </c>
      <c r="B27" s="538"/>
      <c r="C27" s="538"/>
      <c r="D27" s="538"/>
      <c r="E27" s="538"/>
      <c r="F27" s="538"/>
      <c r="G27" s="538"/>
      <c r="H27" s="538"/>
      <c r="I27" s="538"/>
      <c r="J27" s="538"/>
      <c r="K27" s="538"/>
      <c r="L27" s="538"/>
      <c r="M27" s="538"/>
      <c r="N27" s="538"/>
      <c r="O27" s="538"/>
      <c r="P27" s="538"/>
      <c r="Q27" s="538"/>
      <c r="R27" s="538"/>
      <c r="S27" s="538"/>
      <c r="T27" s="538"/>
      <c r="U27" s="538"/>
      <c r="V27" s="538"/>
      <c r="W27" s="538"/>
    </row>
    <row r="28" spans="1:23" s="12" customFormat="1">
      <c r="A28" s="539" t="s">
        <v>116</v>
      </c>
      <c r="B28" s="538"/>
      <c r="C28" s="538"/>
      <c r="D28" s="538"/>
      <c r="E28" s="538"/>
      <c r="F28" s="538"/>
      <c r="G28" s="538"/>
      <c r="H28" s="538"/>
      <c r="I28" s="538"/>
      <c r="J28" s="538"/>
      <c r="K28" s="538"/>
      <c r="L28" s="538"/>
      <c r="M28" s="538"/>
      <c r="N28" s="538"/>
      <c r="O28" s="538"/>
      <c r="P28" s="538"/>
      <c r="Q28" s="538"/>
      <c r="R28" s="538"/>
      <c r="S28" s="538"/>
      <c r="T28" s="538"/>
      <c r="U28" s="538"/>
      <c r="V28" s="538"/>
      <c r="W28" s="538"/>
    </row>
    <row r="29" spans="1:23" s="12" customFormat="1">
      <c r="A29" s="577" t="s">
        <v>117</v>
      </c>
      <c r="B29" s="576"/>
      <c r="C29" s="576"/>
      <c r="D29" s="576"/>
      <c r="E29" s="576"/>
      <c r="F29" s="576"/>
      <c r="G29" s="576"/>
      <c r="H29" s="576"/>
      <c r="I29" s="576"/>
      <c r="J29" s="576"/>
      <c r="K29" s="576"/>
      <c r="L29" s="576"/>
      <c r="M29" s="576"/>
      <c r="N29" s="576"/>
      <c r="O29" s="576"/>
      <c r="P29" s="576"/>
      <c r="Q29" s="576"/>
      <c r="R29" s="576"/>
      <c r="S29" s="576"/>
      <c r="T29" s="576"/>
      <c r="U29" s="576"/>
      <c r="V29" s="576"/>
      <c r="W29" s="576"/>
    </row>
    <row r="30" spans="1:23" s="12" customFormat="1">
      <c r="A30" s="577" t="s">
        <v>118</v>
      </c>
      <c r="B30" s="576"/>
      <c r="C30" s="576"/>
      <c r="D30" s="576"/>
      <c r="E30" s="576"/>
      <c r="F30" s="576"/>
      <c r="G30" s="576"/>
      <c r="H30" s="576"/>
      <c r="I30" s="576"/>
      <c r="J30" s="576"/>
      <c r="K30" s="576"/>
      <c r="L30" s="576"/>
      <c r="M30" s="576"/>
      <c r="N30" s="576"/>
      <c r="O30" s="576"/>
      <c r="P30" s="576"/>
      <c r="Q30" s="576"/>
      <c r="R30" s="576"/>
      <c r="S30" s="576"/>
      <c r="T30" s="576"/>
      <c r="U30" s="576"/>
      <c r="V30" s="576"/>
      <c r="W30" s="576"/>
    </row>
    <row r="31" spans="1:23" s="12" customFormat="1">
      <c r="A31" s="12" t="s">
        <v>119</v>
      </c>
    </row>
    <row r="32" spans="1:23" s="12" customFormat="1">
      <c r="A32" s="12" t="s">
        <v>120</v>
      </c>
    </row>
    <row r="33" spans="1:2" s="12" customFormat="1">
      <c r="A33" s="12" t="s">
        <v>121</v>
      </c>
      <c r="B33" s="12" t="s">
        <v>122</v>
      </c>
    </row>
    <row r="34" spans="1:2" s="12" customFormat="1">
      <c r="A34" s="12" t="s">
        <v>123</v>
      </c>
    </row>
    <row r="35" spans="1:2">
      <c r="A35" s="12" t="s">
        <v>124</v>
      </c>
      <c r="B35" t="s">
        <v>125</v>
      </c>
    </row>
  </sheetData>
  <mergeCells count="7">
    <mergeCell ref="A29:W29"/>
    <mergeCell ref="A30:W30"/>
    <mergeCell ref="A28:W28"/>
    <mergeCell ref="A24:W24"/>
    <mergeCell ref="A25:W25"/>
    <mergeCell ref="A26:W26"/>
    <mergeCell ref="A27:W27"/>
  </mergeCells>
  <printOptions headings="1" gridLines="1"/>
  <pageMargins left="0.5" right="0.5" top="0.5" bottom="0.5" header="0" footer="0"/>
  <pageSetup paperSize="5" scale="61" orientation="landscape" r:id="rId1"/>
  <legacyDrawing r:id="rId2"/>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LX36"/>
  <sheetViews>
    <sheetView topLeftCell="A15" workbookViewId="0">
      <selection activeCell="G36" sqref="G36"/>
    </sheetView>
  </sheetViews>
  <sheetFormatPr defaultColWidth="8.85546875" defaultRowHeight="15"/>
  <cols>
    <col min="1" max="1" width="9.710937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2" bestFit="1" customWidth="1"/>
    <col min="20" max="20" width="13" bestFit="1" customWidth="1"/>
    <col min="21" max="21" width="11.140625" bestFit="1" customWidth="1"/>
    <col min="22" max="22" width="11" bestFit="1" customWidth="1"/>
    <col min="23" max="23" width="12.85546875" bestFit="1" customWidth="1"/>
  </cols>
  <sheetData>
    <row r="1" spans="1:336" s="7" customFormat="1" ht="18.75">
      <c r="A1" s="1" t="s">
        <v>126</v>
      </c>
      <c r="B1" s="2"/>
      <c r="C1" s="1"/>
      <c r="D1" s="1"/>
      <c r="E1" s="1"/>
      <c r="F1" s="1"/>
      <c r="G1" s="1"/>
      <c r="H1" s="1"/>
      <c r="I1" s="1"/>
      <c r="J1" s="1"/>
      <c r="K1" s="1"/>
      <c r="L1" s="1"/>
      <c r="M1" s="1"/>
      <c r="N1" s="1"/>
      <c r="O1" s="1"/>
      <c r="P1" s="1"/>
      <c r="Q1" s="1"/>
      <c r="R1" s="1"/>
      <c r="S1" s="1"/>
      <c r="T1" s="1"/>
      <c r="U1" s="1"/>
      <c r="V1" s="1"/>
      <c r="W1" s="1"/>
    </row>
    <row r="2" spans="1:336"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94" t="s">
        <v>24</v>
      </c>
    </row>
    <row r="3" spans="1:336" s="6" customFormat="1">
      <c r="A3" s="105">
        <v>2022</v>
      </c>
      <c r="B3" s="295">
        <v>65</v>
      </c>
      <c r="C3" s="295">
        <v>7.3</v>
      </c>
      <c r="D3" s="106">
        <f>SUM(B3:C3)</f>
        <v>72.3</v>
      </c>
      <c r="E3" s="82">
        <f t="shared" ref="E3" si="0">ROUND((O3/B3), 0)</f>
        <v>25</v>
      </c>
      <c r="F3" s="82">
        <f t="shared" ref="F3" si="1">ROUND((O3/D3), 0)</f>
        <v>22</v>
      </c>
      <c r="G3" s="295">
        <v>65</v>
      </c>
      <c r="H3" s="295">
        <v>7.3</v>
      </c>
      <c r="I3" s="295">
        <v>130</v>
      </c>
      <c r="J3" s="295">
        <v>170</v>
      </c>
      <c r="K3" s="23">
        <f t="shared" ref="K3" si="2">SUM(I3:J3)</f>
        <v>300</v>
      </c>
      <c r="L3" s="295">
        <v>65</v>
      </c>
      <c r="M3" s="82">
        <f>(I3+L3)</f>
        <v>195</v>
      </c>
      <c r="N3" s="295">
        <v>75</v>
      </c>
      <c r="O3" s="295">
        <v>1625</v>
      </c>
      <c r="P3" s="133">
        <f t="shared" ref="P3" si="3">M3/O3</f>
        <v>0.12</v>
      </c>
      <c r="Q3" s="295">
        <v>105</v>
      </c>
      <c r="R3" s="295">
        <v>519</v>
      </c>
      <c r="S3" s="368">
        <v>23922130.620000001</v>
      </c>
      <c r="T3" s="24">
        <f t="shared" ref="T3" si="4">SUM(U3:V3)</f>
        <v>42364194.189999998</v>
      </c>
      <c r="U3" s="368">
        <v>23813914.190000001</v>
      </c>
      <c r="V3" s="368">
        <v>18550280</v>
      </c>
      <c r="W3" s="135">
        <f t="shared" ref="W3" si="5">V3/T3</f>
        <v>0.43787638015262342</v>
      </c>
    </row>
    <row r="4" spans="1:336" s="72" customFormat="1">
      <c r="A4" s="105">
        <v>2021</v>
      </c>
      <c r="B4" s="295">
        <v>66</v>
      </c>
      <c r="C4" s="295">
        <f>1.24+10.8</f>
        <v>12.040000000000001</v>
      </c>
      <c r="D4" s="106">
        <f>B4+C4</f>
        <v>78.040000000000006</v>
      </c>
      <c r="E4" s="82">
        <f t="shared" ref="E4" si="6">ROUND((O4/B4), 0)</f>
        <v>27</v>
      </c>
      <c r="F4" s="82">
        <f t="shared" ref="F4" si="7">ROUND((O4/D4), 0)</f>
        <v>22</v>
      </c>
      <c r="G4" s="295">
        <f t="shared" ref="G4:H4" si="8">B4</f>
        <v>66</v>
      </c>
      <c r="H4" s="295">
        <f t="shared" si="8"/>
        <v>12.040000000000001</v>
      </c>
      <c r="I4" s="295">
        <v>148</v>
      </c>
      <c r="J4" s="295">
        <v>161</v>
      </c>
      <c r="K4" s="23">
        <f t="shared" ref="K4" si="9">SUM(I4:J4)</f>
        <v>309</v>
      </c>
      <c r="L4" s="295">
        <v>90</v>
      </c>
      <c r="M4" s="82">
        <f t="shared" ref="M4" si="10">(I4+L4)</f>
        <v>238</v>
      </c>
      <c r="N4" s="295">
        <v>76</v>
      </c>
      <c r="O4" s="295">
        <v>1754</v>
      </c>
      <c r="P4" s="133">
        <f t="shared" ref="P4" si="11">M4/O4</f>
        <v>0.13568985176738882</v>
      </c>
      <c r="Q4" s="295">
        <v>102</v>
      </c>
      <c r="R4" s="295">
        <v>494</v>
      </c>
      <c r="S4" s="368">
        <v>21824510</v>
      </c>
      <c r="T4" s="24">
        <f t="shared" ref="T4" si="12">SUM(U4:V4)</f>
        <v>22601429</v>
      </c>
      <c r="U4" s="368">
        <f>13077338+1269029</f>
        <v>14346367</v>
      </c>
      <c r="V4" s="368">
        <v>8255062</v>
      </c>
      <c r="W4" s="135">
        <f t="shared" ref="W4" si="13">V4/T4</f>
        <v>0.36524513560624861</v>
      </c>
    </row>
    <row r="5" spans="1:336" s="72" customFormat="1">
      <c r="A5" s="105">
        <v>2020</v>
      </c>
      <c r="B5" s="295">
        <v>59</v>
      </c>
      <c r="C5" s="295">
        <v>12.2</v>
      </c>
      <c r="D5" s="106">
        <v>71.2</v>
      </c>
      <c r="E5" s="82">
        <f>ROUND((O5/B5), 0)</f>
        <v>25</v>
      </c>
      <c r="F5" s="82">
        <f>ROUND((O5/D5), 0)</f>
        <v>21</v>
      </c>
      <c r="G5" s="295">
        <v>59</v>
      </c>
      <c r="H5" s="295">
        <v>12.2</v>
      </c>
      <c r="I5" s="295">
        <v>120</v>
      </c>
      <c r="J5" s="295">
        <v>158</v>
      </c>
      <c r="K5" s="23">
        <f t="shared" ref="K5" si="14">SUM(I5:J5)</f>
        <v>278</v>
      </c>
      <c r="L5" s="295">
        <v>53</v>
      </c>
      <c r="M5" s="82">
        <f>(I5+L5)</f>
        <v>173</v>
      </c>
      <c r="N5" s="295">
        <v>65</v>
      </c>
      <c r="O5" s="295">
        <v>1495</v>
      </c>
      <c r="P5" s="133">
        <f t="shared" ref="P5" si="15">M5/O5</f>
        <v>0.11571906354515051</v>
      </c>
      <c r="Q5" s="295">
        <v>90</v>
      </c>
      <c r="R5" s="295">
        <v>461</v>
      </c>
      <c r="S5" s="368">
        <v>24980778</v>
      </c>
      <c r="T5" s="24">
        <f>SUM(U5:V5)</f>
        <v>26696879</v>
      </c>
      <c r="U5" s="368">
        <v>17423768</v>
      </c>
      <c r="V5" s="368">
        <v>9273111</v>
      </c>
      <c r="W5" s="135">
        <f t="shared" ref="W5" si="16">V5/T5</f>
        <v>0.34734813009415821</v>
      </c>
    </row>
    <row r="6" spans="1:336">
      <c r="A6" s="10">
        <v>2019</v>
      </c>
      <c r="B6" s="17">
        <v>56</v>
      </c>
      <c r="C6" s="17">
        <v>14</v>
      </c>
      <c r="D6" s="23">
        <f>SUM(B6:C6)</f>
        <v>70</v>
      </c>
      <c r="E6" s="82">
        <f>ROUND((O6/B6), 0)</f>
        <v>26</v>
      </c>
      <c r="F6" s="82">
        <f>ROUND((O6/D6), 0)</f>
        <v>21</v>
      </c>
      <c r="G6" s="17">
        <v>56</v>
      </c>
      <c r="H6" s="17">
        <v>14</v>
      </c>
      <c r="I6" s="17">
        <v>119</v>
      </c>
      <c r="J6" s="17">
        <v>143</v>
      </c>
      <c r="K6" s="23">
        <f t="shared" ref="K6" si="17">SUM(I6:J6)</f>
        <v>262</v>
      </c>
      <c r="L6" s="17">
        <v>48</v>
      </c>
      <c r="M6" s="82">
        <f>(I6+L6)</f>
        <v>167</v>
      </c>
      <c r="N6" s="17">
        <v>65</v>
      </c>
      <c r="O6" s="17">
        <v>1437</v>
      </c>
      <c r="P6" s="133">
        <f t="shared" ref="P6" si="18">M6/O6</f>
        <v>0.116214335421016</v>
      </c>
      <c r="Q6" s="17">
        <v>87</v>
      </c>
      <c r="R6" s="17">
        <v>313</v>
      </c>
      <c r="S6" s="20">
        <v>20423885</v>
      </c>
      <c r="T6" s="24">
        <f>SUM(U6:V6)</f>
        <v>21187121</v>
      </c>
      <c r="U6" s="20">
        <v>12503186</v>
      </c>
      <c r="V6" s="20">
        <v>8683935</v>
      </c>
      <c r="W6" s="135">
        <f t="shared" ref="W6" si="19">V6/T6</f>
        <v>0.40986857062835486</v>
      </c>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row>
    <row r="7" spans="1:336" s="14" customFormat="1">
      <c r="A7" s="10">
        <v>2018</v>
      </c>
      <c r="B7" s="17">
        <v>51</v>
      </c>
      <c r="C7" s="17">
        <v>9.2799999999999994</v>
      </c>
      <c r="D7" s="23">
        <f>SUM(B7:C7)</f>
        <v>60.28</v>
      </c>
      <c r="E7" s="82">
        <f>ROUND((O7/B7), 0)</f>
        <v>20</v>
      </c>
      <c r="F7" s="82">
        <f>ROUND((O7/D7), 0)</f>
        <v>17</v>
      </c>
      <c r="G7" s="17">
        <v>51</v>
      </c>
      <c r="H7" s="17">
        <v>9.2799999999999994</v>
      </c>
      <c r="I7" s="17">
        <v>100</v>
      </c>
      <c r="J7" s="17">
        <v>123</v>
      </c>
      <c r="K7" s="23">
        <f t="shared" ref="K7" si="20">SUM(I7:J7)</f>
        <v>223</v>
      </c>
      <c r="L7" s="17">
        <v>41</v>
      </c>
      <c r="M7" s="82">
        <f>(I7+L7)</f>
        <v>141</v>
      </c>
      <c r="N7" s="17">
        <v>44</v>
      </c>
      <c r="O7" s="254">
        <v>1011</v>
      </c>
      <c r="P7" s="133">
        <f>M7/O7</f>
        <v>0.1394658753709199</v>
      </c>
      <c r="Q7" s="17">
        <v>83</v>
      </c>
      <c r="R7" s="17">
        <v>126</v>
      </c>
      <c r="S7" s="20">
        <v>10689696</v>
      </c>
      <c r="T7" s="24">
        <f>SUM(U7:V7)</f>
        <v>10500428</v>
      </c>
      <c r="U7" s="20">
        <v>4464467</v>
      </c>
      <c r="V7" s="20">
        <v>6035961</v>
      </c>
      <c r="W7" s="135">
        <f>V7/T7</f>
        <v>0.57482999740582008</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336" s="9" customFormat="1">
      <c r="A8" s="10">
        <v>2017</v>
      </c>
      <c r="B8" s="17">
        <v>47</v>
      </c>
      <c r="C8" s="17">
        <v>3.74</v>
      </c>
      <c r="D8" s="27">
        <f>SUM(B8:C8)</f>
        <v>50.74</v>
      </c>
      <c r="E8" s="27">
        <f>ROUND((O8/B8), 0)</f>
        <v>14</v>
      </c>
      <c r="F8" s="27">
        <f>ROUND((O8/D8), 0)</f>
        <v>13</v>
      </c>
      <c r="G8" s="17">
        <v>47</v>
      </c>
      <c r="H8" s="17">
        <v>3.74</v>
      </c>
      <c r="I8" s="17">
        <v>86</v>
      </c>
      <c r="J8" s="17">
        <v>107</v>
      </c>
      <c r="K8" s="27">
        <f>SUM(I8:J8)</f>
        <v>193</v>
      </c>
      <c r="L8" s="17">
        <v>35.67</v>
      </c>
      <c r="M8" s="29">
        <f>(I8+L8)</f>
        <v>121.67</v>
      </c>
      <c r="N8" s="255">
        <v>52</v>
      </c>
      <c r="O8" s="255">
        <v>657.33</v>
      </c>
      <c r="P8" s="133">
        <f t="shared" ref="P8:P23" si="21">M8/O8</f>
        <v>0.18509728751159996</v>
      </c>
      <c r="Q8" s="17">
        <v>68</v>
      </c>
      <c r="R8" s="17">
        <v>107</v>
      </c>
      <c r="S8" s="223">
        <v>6493355</v>
      </c>
      <c r="T8" s="28">
        <f>SUM(U8:V8)</f>
        <v>11605154</v>
      </c>
      <c r="U8" s="252">
        <v>6640412</v>
      </c>
      <c r="V8" s="20">
        <v>4964742</v>
      </c>
      <c r="W8" s="135">
        <f t="shared" ref="W8:W23" si="22">V8/T8</f>
        <v>0.42780492184765495</v>
      </c>
    </row>
    <row r="9" spans="1:336" s="72" customFormat="1">
      <c r="A9" s="10">
        <v>2016</v>
      </c>
      <c r="B9" s="54">
        <v>38</v>
      </c>
      <c r="C9" s="54">
        <v>3.4</v>
      </c>
      <c r="D9" s="65">
        <f>B9+C9</f>
        <v>41.4</v>
      </c>
      <c r="E9" s="13">
        <f>ROUND((O9/B9), 0)</f>
        <v>11</v>
      </c>
      <c r="F9" s="13">
        <f>ROUND((O9/D9), 0)</f>
        <v>10</v>
      </c>
      <c r="G9" s="54">
        <v>38</v>
      </c>
      <c r="H9" s="54">
        <v>3.4</v>
      </c>
      <c r="I9" s="54">
        <v>89</v>
      </c>
      <c r="J9" s="54">
        <v>98</v>
      </c>
      <c r="K9" s="65">
        <f>I9+J9</f>
        <v>187</v>
      </c>
      <c r="L9" s="54">
        <v>33</v>
      </c>
      <c r="M9" s="13">
        <f>I9+L9</f>
        <v>122</v>
      </c>
      <c r="N9" s="54">
        <v>37</v>
      </c>
      <c r="O9" s="54">
        <v>409</v>
      </c>
      <c r="P9" s="133">
        <f t="shared" si="21"/>
        <v>0.2982885085574572</v>
      </c>
      <c r="Q9" s="54">
        <v>111</v>
      </c>
      <c r="R9" s="54">
        <v>63</v>
      </c>
      <c r="S9" s="55">
        <v>9017829</v>
      </c>
      <c r="T9" s="68">
        <f>SUM(U9:V9)</f>
        <v>10926506</v>
      </c>
      <c r="U9" s="55">
        <v>10618992</v>
      </c>
      <c r="V9" s="55">
        <v>307514</v>
      </c>
      <c r="W9" s="135">
        <f t="shared" si="22"/>
        <v>2.8143854952351648E-2</v>
      </c>
    </row>
    <row r="10" spans="1:336">
      <c r="A10" s="15">
        <v>2015</v>
      </c>
      <c r="B10" s="70">
        <v>5</v>
      </c>
      <c r="C10" s="70">
        <v>5</v>
      </c>
      <c r="D10" s="65">
        <v>10</v>
      </c>
      <c r="E10" s="65">
        <v>67</v>
      </c>
      <c r="F10" s="65">
        <v>33.5</v>
      </c>
      <c r="G10" s="83"/>
      <c r="H10" s="83"/>
      <c r="I10" s="70">
        <v>108</v>
      </c>
      <c r="J10" s="70">
        <v>114</v>
      </c>
      <c r="K10" s="65">
        <v>222</v>
      </c>
      <c r="L10" s="70">
        <v>38</v>
      </c>
      <c r="M10" s="65">
        <v>146</v>
      </c>
      <c r="N10" s="70">
        <v>40</v>
      </c>
      <c r="O10" s="70">
        <v>335</v>
      </c>
      <c r="P10" s="133">
        <f t="shared" si="21"/>
        <v>0.43582089552238806</v>
      </c>
      <c r="Q10" s="70">
        <v>106</v>
      </c>
      <c r="R10" s="70">
        <v>85</v>
      </c>
      <c r="S10" s="78">
        <v>11333895</v>
      </c>
      <c r="T10" s="79">
        <v>9288667</v>
      </c>
      <c r="U10" s="78">
        <v>3326133</v>
      </c>
      <c r="V10" s="78">
        <v>5962534</v>
      </c>
      <c r="W10" s="135">
        <f t="shared" si="22"/>
        <v>0.64191492708264808</v>
      </c>
    </row>
    <row r="11" spans="1:336">
      <c r="A11" s="15">
        <v>2014</v>
      </c>
      <c r="B11" s="70">
        <v>30</v>
      </c>
      <c r="C11" s="70">
        <v>6.85</v>
      </c>
      <c r="D11" s="65">
        <f>B11+C11</f>
        <v>36.85</v>
      </c>
      <c r="E11" s="13">
        <f t="shared" ref="E11:E23" si="23">ROUND((O11/B11), 0)</f>
        <v>14</v>
      </c>
      <c r="F11" s="13">
        <f t="shared" ref="F11:F23" si="24">ROUND((O11/D11), 0)</f>
        <v>11</v>
      </c>
      <c r="G11" s="83"/>
      <c r="H11" s="83"/>
      <c r="I11" s="70">
        <v>127</v>
      </c>
      <c r="J11" s="70">
        <v>119</v>
      </c>
      <c r="K11" s="65">
        <f>I11+J11</f>
        <v>246</v>
      </c>
      <c r="L11" s="70">
        <v>39.67</v>
      </c>
      <c r="M11" s="13">
        <f>I11+L11</f>
        <v>166.67000000000002</v>
      </c>
      <c r="N11" s="70">
        <v>37</v>
      </c>
      <c r="O11" s="70">
        <v>412</v>
      </c>
      <c r="P11" s="133">
        <f t="shared" si="21"/>
        <v>0.40453883495145637</v>
      </c>
      <c r="Q11" s="70">
        <v>105</v>
      </c>
      <c r="R11" s="70">
        <v>48</v>
      </c>
      <c r="S11" s="71">
        <v>8261582</v>
      </c>
      <c r="T11" s="68">
        <f t="shared" ref="T11:T23" si="25">SUM(U11:V11)</f>
        <v>6327682</v>
      </c>
      <c r="U11" s="71">
        <v>3593175</v>
      </c>
      <c r="V11" s="71">
        <v>2734507</v>
      </c>
      <c r="W11" s="135">
        <f t="shared" si="22"/>
        <v>0.43214987731684368</v>
      </c>
    </row>
    <row r="12" spans="1:336">
      <c r="A12" s="10">
        <v>2013</v>
      </c>
      <c r="B12" s="528">
        <v>27</v>
      </c>
      <c r="C12" s="528">
        <v>6</v>
      </c>
      <c r="D12" s="23">
        <f>B12+C12</f>
        <v>33</v>
      </c>
      <c r="E12" s="82">
        <f t="shared" si="23"/>
        <v>15</v>
      </c>
      <c r="F12" s="82">
        <f t="shared" si="24"/>
        <v>12</v>
      </c>
      <c r="G12" s="85"/>
      <c r="H12" s="85"/>
      <c r="I12" s="528">
        <v>180</v>
      </c>
      <c r="J12" s="528">
        <v>142</v>
      </c>
      <c r="K12" s="23">
        <f>I12+J12</f>
        <v>322</v>
      </c>
      <c r="L12" s="528">
        <v>47</v>
      </c>
      <c r="M12" s="82">
        <f>I12+L12</f>
        <v>227</v>
      </c>
      <c r="N12" s="528">
        <v>41</v>
      </c>
      <c r="O12" s="528">
        <v>393</v>
      </c>
      <c r="P12" s="133">
        <f t="shared" si="21"/>
        <v>0.57760814249363868</v>
      </c>
      <c r="Q12" s="528">
        <v>84</v>
      </c>
      <c r="R12" s="528">
        <v>37</v>
      </c>
      <c r="S12" s="84">
        <v>7408483</v>
      </c>
      <c r="T12" s="24">
        <f t="shared" si="25"/>
        <v>6578825</v>
      </c>
      <c r="U12" s="84">
        <v>3324959</v>
      </c>
      <c r="V12" s="84">
        <v>3253866</v>
      </c>
      <c r="W12" s="135">
        <f t="shared" si="22"/>
        <v>0.49459683150106593</v>
      </c>
    </row>
    <row r="13" spans="1:336">
      <c r="A13" s="15">
        <v>2012</v>
      </c>
      <c r="B13" s="528">
        <v>25</v>
      </c>
      <c r="C13" s="528">
        <v>9.1999999999999993</v>
      </c>
      <c r="D13" s="23">
        <f>B13+C13</f>
        <v>34.200000000000003</v>
      </c>
      <c r="E13" s="82">
        <f t="shared" si="23"/>
        <v>13</v>
      </c>
      <c r="F13" s="82">
        <f t="shared" si="24"/>
        <v>9</v>
      </c>
      <c r="G13" s="85"/>
      <c r="H13" s="85"/>
      <c r="I13" s="528">
        <v>149</v>
      </c>
      <c r="J13" s="528">
        <v>153</v>
      </c>
      <c r="K13" s="23">
        <f>I13+J13</f>
        <v>302</v>
      </c>
      <c r="L13" s="528">
        <v>51</v>
      </c>
      <c r="M13" s="82">
        <f>I13+L13</f>
        <v>200</v>
      </c>
      <c r="N13" s="528">
        <v>52</v>
      </c>
      <c r="O13" s="528">
        <v>315</v>
      </c>
      <c r="P13" s="133">
        <f t="shared" si="21"/>
        <v>0.63492063492063489</v>
      </c>
      <c r="Q13" s="528">
        <v>117</v>
      </c>
      <c r="R13" s="528">
        <v>33</v>
      </c>
      <c r="S13" s="84">
        <v>7600398</v>
      </c>
      <c r="T13" s="24">
        <f t="shared" si="25"/>
        <v>6750810</v>
      </c>
      <c r="U13" s="84">
        <v>2746949</v>
      </c>
      <c r="V13" s="84">
        <v>4003861</v>
      </c>
      <c r="W13" s="135">
        <f t="shared" si="22"/>
        <v>0.5930934213820267</v>
      </c>
    </row>
    <row r="14" spans="1:336">
      <c r="A14" s="15">
        <v>2011</v>
      </c>
      <c r="B14" s="528">
        <v>25</v>
      </c>
      <c r="C14" s="528">
        <v>9</v>
      </c>
      <c r="D14" s="23">
        <f t="shared" ref="D14:D23" si="26">SUM(B14:C14)</f>
        <v>34</v>
      </c>
      <c r="E14" s="82">
        <f t="shared" si="23"/>
        <v>15</v>
      </c>
      <c r="F14" s="82">
        <f t="shared" si="24"/>
        <v>11</v>
      </c>
      <c r="G14" s="85"/>
      <c r="H14" s="85"/>
      <c r="I14" s="528">
        <v>182</v>
      </c>
      <c r="J14" s="528">
        <v>180</v>
      </c>
      <c r="K14" s="23">
        <f t="shared" ref="K14:K23" si="27">SUM(I14:J14)</f>
        <v>362</v>
      </c>
      <c r="L14" s="528">
        <v>60</v>
      </c>
      <c r="M14" s="82">
        <f t="shared" ref="M14:M23" si="28">(I14+L14)</f>
        <v>242</v>
      </c>
      <c r="N14" s="528">
        <v>64</v>
      </c>
      <c r="O14" s="528">
        <v>374</v>
      </c>
      <c r="P14" s="133">
        <f t="shared" si="21"/>
        <v>0.6470588235294118</v>
      </c>
      <c r="Q14" s="528">
        <v>160</v>
      </c>
      <c r="R14" s="528">
        <v>63</v>
      </c>
      <c r="S14" s="84">
        <v>7434246</v>
      </c>
      <c r="T14" s="24">
        <f t="shared" si="25"/>
        <v>7451944</v>
      </c>
      <c r="U14" s="84">
        <v>4434820</v>
      </c>
      <c r="V14" s="84">
        <v>3017124</v>
      </c>
      <c r="W14" s="135">
        <f t="shared" si="22"/>
        <v>0.40487743869250764</v>
      </c>
    </row>
    <row r="15" spans="1:336">
      <c r="A15" s="15">
        <v>2010</v>
      </c>
      <c r="B15" s="528">
        <v>27</v>
      </c>
      <c r="C15" s="528">
        <v>9.6</v>
      </c>
      <c r="D15" s="23">
        <f t="shared" si="26"/>
        <v>36.6</v>
      </c>
      <c r="E15" s="82">
        <f t="shared" si="23"/>
        <v>15</v>
      </c>
      <c r="F15" s="82">
        <f t="shared" si="24"/>
        <v>11</v>
      </c>
      <c r="G15" s="85"/>
      <c r="H15" s="85"/>
      <c r="I15" s="528">
        <v>159</v>
      </c>
      <c r="J15" s="528">
        <v>195</v>
      </c>
      <c r="K15" s="23">
        <f t="shared" si="27"/>
        <v>354</v>
      </c>
      <c r="L15" s="528">
        <v>130.65</v>
      </c>
      <c r="M15" s="82">
        <f t="shared" si="28"/>
        <v>289.64999999999998</v>
      </c>
      <c r="N15" s="528">
        <v>42</v>
      </c>
      <c r="O15" s="528">
        <v>397.84000000000003</v>
      </c>
      <c r="P15" s="133">
        <f t="shared" si="21"/>
        <v>0.72805650512768938</v>
      </c>
      <c r="Q15" s="528">
        <v>112</v>
      </c>
      <c r="R15" s="528">
        <v>73</v>
      </c>
      <c r="S15" s="84">
        <v>5461367.29</v>
      </c>
      <c r="T15" s="24">
        <f t="shared" si="25"/>
        <v>5549356</v>
      </c>
      <c r="U15" s="84">
        <v>3430566</v>
      </c>
      <c r="V15" s="84">
        <v>2118790</v>
      </c>
      <c r="W15" s="135">
        <f t="shared" si="22"/>
        <v>0.38180826748184832</v>
      </c>
    </row>
    <row r="16" spans="1:336">
      <c r="A16" s="15">
        <v>2009</v>
      </c>
      <c r="B16" s="528">
        <v>25</v>
      </c>
      <c r="C16" s="528">
        <v>7.4</v>
      </c>
      <c r="D16" s="23">
        <f t="shared" si="26"/>
        <v>32.4</v>
      </c>
      <c r="E16" s="82">
        <f t="shared" si="23"/>
        <v>16</v>
      </c>
      <c r="F16" s="82">
        <f t="shared" si="24"/>
        <v>13</v>
      </c>
      <c r="G16" s="85"/>
      <c r="H16" s="85"/>
      <c r="I16" s="528">
        <v>180</v>
      </c>
      <c r="J16" s="528">
        <v>163</v>
      </c>
      <c r="K16" s="23">
        <f t="shared" si="27"/>
        <v>343</v>
      </c>
      <c r="L16" s="528">
        <v>86.43</v>
      </c>
      <c r="M16" s="82">
        <f t="shared" si="28"/>
        <v>266.43</v>
      </c>
      <c r="N16" s="528">
        <v>43</v>
      </c>
      <c r="O16" s="528">
        <v>411.13</v>
      </c>
      <c r="P16" s="133">
        <f t="shared" si="21"/>
        <v>0.64804319801522636</v>
      </c>
      <c r="Q16" s="528">
        <v>113</v>
      </c>
      <c r="R16" s="528">
        <v>41</v>
      </c>
      <c r="S16" s="84">
        <v>4178141.43</v>
      </c>
      <c r="T16" s="24">
        <f t="shared" si="25"/>
        <v>4264640</v>
      </c>
      <c r="U16" s="84">
        <v>2657833</v>
      </c>
      <c r="V16" s="84">
        <v>1606807</v>
      </c>
      <c r="W16" s="135">
        <f t="shared" si="22"/>
        <v>0.37677435844526153</v>
      </c>
    </row>
    <row r="17" spans="1:336">
      <c r="A17" s="15">
        <v>2008</v>
      </c>
      <c r="B17" s="528">
        <v>23</v>
      </c>
      <c r="C17" s="528">
        <v>4.5</v>
      </c>
      <c r="D17" s="23">
        <f t="shared" si="26"/>
        <v>27.5</v>
      </c>
      <c r="E17" s="82">
        <f t="shared" si="23"/>
        <v>16</v>
      </c>
      <c r="F17" s="82">
        <f t="shared" si="24"/>
        <v>13</v>
      </c>
      <c r="G17" s="85"/>
      <c r="H17" s="85"/>
      <c r="I17" s="528">
        <v>156</v>
      </c>
      <c r="J17" s="528">
        <v>141</v>
      </c>
      <c r="K17" s="23">
        <f t="shared" si="27"/>
        <v>297</v>
      </c>
      <c r="L17" s="528">
        <v>87.33</v>
      </c>
      <c r="M17" s="82">
        <f t="shared" si="28"/>
        <v>243.32999999999998</v>
      </c>
      <c r="N17" s="528">
        <v>33</v>
      </c>
      <c r="O17" s="528">
        <v>368</v>
      </c>
      <c r="P17" s="133">
        <f t="shared" si="21"/>
        <v>0.66122282608695648</v>
      </c>
      <c r="Q17" s="528">
        <v>120</v>
      </c>
      <c r="R17" s="528">
        <v>24</v>
      </c>
      <c r="S17" s="84">
        <v>4302072</v>
      </c>
      <c r="T17" s="24">
        <f t="shared" si="25"/>
        <v>4306135</v>
      </c>
      <c r="U17" s="84">
        <v>2611356</v>
      </c>
      <c r="V17" s="84">
        <v>1694779</v>
      </c>
      <c r="W17" s="135">
        <f t="shared" si="22"/>
        <v>0.39357312299776948</v>
      </c>
    </row>
    <row r="18" spans="1:336">
      <c r="A18" s="15">
        <v>2007</v>
      </c>
      <c r="B18" s="528">
        <v>23</v>
      </c>
      <c r="C18" s="528">
        <v>4</v>
      </c>
      <c r="D18" s="23">
        <f t="shared" si="26"/>
        <v>27</v>
      </c>
      <c r="E18" s="82">
        <f t="shared" si="23"/>
        <v>13</v>
      </c>
      <c r="F18" s="82">
        <f t="shared" si="24"/>
        <v>11</v>
      </c>
      <c r="G18" s="85"/>
      <c r="H18" s="85"/>
      <c r="I18" s="528">
        <v>145</v>
      </c>
      <c r="J18" s="528">
        <v>154</v>
      </c>
      <c r="K18" s="23">
        <f t="shared" si="27"/>
        <v>299</v>
      </c>
      <c r="L18" s="528">
        <v>81.42</v>
      </c>
      <c r="M18" s="82">
        <f t="shared" si="28"/>
        <v>226.42000000000002</v>
      </c>
      <c r="N18" s="528">
        <v>39</v>
      </c>
      <c r="O18" s="528">
        <v>299</v>
      </c>
      <c r="P18" s="133">
        <f t="shared" si="21"/>
        <v>0.7572575250836121</v>
      </c>
      <c r="Q18" s="528">
        <v>116</v>
      </c>
      <c r="R18" s="528">
        <v>32</v>
      </c>
      <c r="S18" s="132">
        <v>3442456</v>
      </c>
      <c r="T18" s="24">
        <f t="shared" si="25"/>
        <v>6008814</v>
      </c>
      <c r="U18" s="132">
        <v>3346224</v>
      </c>
      <c r="V18" s="132">
        <v>2662590</v>
      </c>
      <c r="W18" s="135">
        <f t="shared" si="22"/>
        <v>0.44311406543787174</v>
      </c>
      <c r="X18" s="187"/>
      <c r="Y18" s="187"/>
      <c r="Z18" s="187"/>
    </row>
    <row r="19" spans="1:336">
      <c r="A19" s="15">
        <v>2006</v>
      </c>
      <c r="B19" s="528">
        <v>14</v>
      </c>
      <c r="C19" s="528">
        <v>5</v>
      </c>
      <c r="D19" s="23">
        <f t="shared" si="26"/>
        <v>19</v>
      </c>
      <c r="E19" s="82">
        <f t="shared" si="23"/>
        <v>25</v>
      </c>
      <c r="F19" s="82">
        <f t="shared" si="24"/>
        <v>18</v>
      </c>
      <c r="G19" s="85"/>
      <c r="H19" s="85"/>
      <c r="I19" s="528">
        <v>149</v>
      </c>
      <c r="J19" s="528">
        <v>199</v>
      </c>
      <c r="K19" s="23">
        <f t="shared" si="27"/>
        <v>348</v>
      </c>
      <c r="L19" s="528">
        <v>116</v>
      </c>
      <c r="M19" s="82">
        <f t="shared" si="28"/>
        <v>265</v>
      </c>
      <c r="N19" s="528">
        <v>36</v>
      </c>
      <c r="O19" s="528">
        <v>349</v>
      </c>
      <c r="P19" s="133">
        <f t="shared" si="21"/>
        <v>0.75931232091690548</v>
      </c>
      <c r="Q19" s="528">
        <v>102</v>
      </c>
      <c r="R19" s="528">
        <v>26</v>
      </c>
      <c r="S19" s="132">
        <v>3351158</v>
      </c>
      <c r="T19" s="24">
        <f t="shared" si="25"/>
        <v>5206986</v>
      </c>
      <c r="U19" s="132">
        <v>2574203</v>
      </c>
      <c r="V19" s="132">
        <v>2632783</v>
      </c>
      <c r="W19" s="135">
        <f t="shared" si="22"/>
        <v>0.50562513515496299</v>
      </c>
      <c r="X19" s="187"/>
      <c r="Y19" s="187"/>
      <c r="Z19" s="187"/>
    </row>
    <row r="20" spans="1:336">
      <c r="A20" s="15">
        <v>2005</v>
      </c>
      <c r="B20" s="528">
        <v>14</v>
      </c>
      <c r="C20" s="528">
        <v>3</v>
      </c>
      <c r="D20" s="23">
        <f t="shared" si="26"/>
        <v>17</v>
      </c>
      <c r="E20" s="82">
        <f t="shared" si="23"/>
        <v>23</v>
      </c>
      <c r="F20" s="82">
        <f t="shared" si="24"/>
        <v>19</v>
      </c>
      <c r="G20" s="85"/>
      <c r="H20" s="85"/>
      <c r="I20" s="528">
        <v>139</v>
      </c>
      <c r="J20" s="528">
        <v>206</v>
      </c>
      <c r="K20" s="23">
        <f t="shared" si="27"/>
        <v>345</v>
      </c>
      <c r="L20" s="528">
        <v>109</v>
      </c>
      <c r="M20" s="82">
        <f t="shared" si="28"/>
        <v>248</v>
      </c>
      <c r="N20" s="528">
        <v>40</v>
      </c>
      <c r="O20" s="528">
        <v>319</v>
      </c>
      <c r="P20" s="133">
        <f t="shared" si="21"/>
        <v>0.77742946708463945</v>
      </c>
      <c r="Q20" s="528">
        <v>119</v>
      </c>
      <c r="R20" s="528">
        <v>16</v>
      </c>
      <c r="S20" s="132">
        <v>2865488</v>
      </c>
      <c r="T20" s="24">
        <f t="shared" si="25"/>
        <v>2707732</v>
      </c>
      <c r="U20" s="132">
        <v>2357784</v>
      </c>
      <c r="V20" s="132">
        <v>349948</v>
      </c>
      <c r="W20" s="135">
        <f t="shared" si="22"/>
        <v>0.129240264546122</v>
      </c>
      <c r="X20" s="187"/>
      <c r="Y20" s="187"/>
      <c r="Z20" s="187"/>
    </row>
    <row r="21" spans="1:336">
      <c r="A21" s="15">
        <v>2004</v>
      </c>
      <c r="B21" s="528">
        <v>14</v>
      </c>
      <c r="C21" s="528">
        <v>4</v>
      </c>
      <c r="D21" s="23">
        <f t="shared" si="26"/>
        <v>18</v>
      </c>
      <c r="E21" s="82">
        <f t="shared" si="23"/>
        <v>20</v>
      </c>
      <c r="F21" s="82">
        <f t="shared" si="24"/>
        <v>15</v>
      </c>
      <c r="G21" s="85"/>
      <c r="H21" s="85"/>
      <c r="I21" s="528">
        <v>133</v>
      </c>
      <c r="J21" s="528">
        <v>177</v>
      </c>
      <c r="K21" s="23">
        <f t="shared" si="27"/>
        <v>310</v>
      </c>
      <c r="L21" s="528">
        <v>91</v>
      </c>
      <c r="M21" s="82">
        <f t="shared" si="28"/>
        <v>224</v>
      </c>
      <c r="N21" s="528">
        <v>43</v>
      </c>
      <c r="O21" s="528">
        <v>274</v>
      </c>
      <c r="P21" s="133">
        <f t="shared" si="21"/>
        <v>0.81751824817518248</v>
      </c>
      <c r="Q21" s="528">
        <v>101</v>
      </c>
      <c r="R21" s="528">
        <v>0</v>
      </c>
      <c r="S21" s="132">
        <v>2173297</v>
      </c>
      <c r="T21" s="24">
        <f t="shared" si="25"/>
        <v>2173297</v>
      </c>
      <c r="U21" s="132">
        <v>2037624</v>
      </c>
      <c r="V21" s="132">
        <v>135673</v>
      </c>
      <c r="W21" s="135">
        <f t="shared" si="22"/>
        <v>6.2427270639953951E-2</v>
      </c>
    </row>
    <row r="22" spans="1:336">
      <c r="A22" s="15">
        <v>2003</v>
      </c>
      <c r="B22" s="528">
        <v>13</v>
      </c>
      <c r="C22" s="528">
        <v>3</v>
      </c>
      <c r="D22" s="23">
        <f t="shared" si="26"/>
        <v>16</v>
      </c>
      <c r="E22" s="82">
        <f t="shared" si="23"/>
        <v>21</v>
      </c>
      <c r="F22" s="82">
        <f t="shared" si="24"/>
        <v>17</v>
      </c>
      <c r="G22" s="85"/>
      <c r="H22" s="85"/>
      <c r="I22" s="528">
        <v>152</v>
      </c>
      <c r="J22" s="528">
        <v>160</v>
      </c>
      <c r="K22" s="23">
        <f t="shared" si="27"/>
        <v>312</v>
      </c>
      <c r="L22" s="528">
        <v>93</v>
      </c>
      <c r="M22" s="82">
        <f t="shared" si="28"/>
        <v>245</v>
      </c>
      <c r="N22" s="528">
        <v>29</v>
      </c>
      <c r="O22" s="528">
        <v>276</v>
      </c>
      <c r="P22" s="133">
        <f t="shared" si="21"/>
        <v>0.8876811594202898</v>
      </c>
      <c r="Q22" s="528">
        <v>80</v>
      </c>
      <c r="R22" s="528">
        <v>6</v>
      </c>
      <c r="S22" s="132">
        <v>2137047</v>
      </c>
      <c r="T22" s="24">
        <f t="shared" si="25"/>
        <v>2137047</v>
      </c>
      <c r="U22" s="132">
        <v>2001413</v>
      </c>
      <c r="V22" s="132">
        <v>135634</v>
      </c>
      <c r="W22" s="135">
        <f t="shared" si="22"/>
        <v>6.3467953676264496E-2</v>
      </c>
    </row>
    <row r="23" spans="1:336">
      <c r="A23" s="75">
        <v>2002</v>
      </c>
      <c r="B23" s="536">
        <v>12</v>
      </c>
      <c r="C23" s="536">
        <v>2.8</v>
      </c>
      <c r="D23" s="188">
        <f t="shared" si="26"/>
        <v>14.8</v>
      </c>
      <c r="E23" s="189">
        <f t="shared" si="23"/>
        <v>17</v>
      </c>
      <c r="F23" s="189">
        <f t="shared" si="24"/>
        <v>13</v>
      </c>
      <c r="G23" s="190"/>
      <c r="H23" s="190"/>
      <c r="I23" s="536">
        <v>109</v>
      </c>
      <c r="J23" s="536">
        <v>144</v>
      </c>
      <c r="K23" s="188">
        <f t="shared" si="27"/>
        <v>253</v>
      </c>
      <c r="L23" s="536">
        <f>ROUND(77.4, 0)</f>
        <v>77</v>
      </c>
      <c r="M23" s="189">
        <f t="shared" si="28"/>
        <v>186</v>
      </c>
      <c r="N23" s="536">
        <v>29</v>
      </c>
      <c r="O23" s="536">
        <f>ROUND(199.2, 0)</f>
        <v>199</v>
      </c>
      <c r="P23" s="133">
        <f t="shared" si="21"/>
        <v>0.9346733668341709</v>
      </c>
      <c r="Q23" s="536">
        <v>121</v>
      </c>
      <c r="R23" s="536">
        <v>2</v>
      </c>
      <c r="S23" s="191">
        <v>2247126</v>
      </c>
      <c r="T23" s="192">
        <f t="shared" si="25"/>
        <v>2247126</v>
      </c>
      <c r="U23" s="191">
        <v>2020893</v>
      </c>
      <c r="V23" s="191">
        <v>226233</v>
      </c>
      <c r="W23" s="135">
        <f t="shared" si="22"/>
        <v>0.10067659757396781</v>
      </c>
    </row>
    <row r="24" spans="1:336" s="73" customFormat="1" ht="29.45" customHeight="1">
      <c r="A24" s="550" t="s">
        <v>127</v>
      </c>
      <c r="B24" s="550"/>
      <c r="C24" s="550"/>
      <c r="D24" s="550"/>
      <c r="E24" s="550"/>
      <c r="F24" s="550"/>
      <c r="G24" s="550"/>
      <c r="H24" s="550"/>
      <c r="I24" s="550"/>
      <c r="J24" s="550"/>
      <c r="K24" s="550"/>
      <c r="L24" s="550"/>
      <c r="M24" s="550"/>
      <c r="N24" s="550"/>
      <c r="O24" s="550"/>
      <c r="P24" s="550"/>
      <c r="Q24" s="550"/>
      <c r="R24" s="550"/>
      <c r="S24" s="550"/>
      <c r="T24" s="550"/>
      <c r="U24" s="550"/>
      <c r="V24" s="550"/>
      <c r="W24" s="550"/>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row>
    <row r="25" spans="1:336" s="73" customFormat="1">
      <c r="A25" s="550" t="s">
        <v>128</v>
      </c>
      <c r="B25" s="550"/>
      <c r="C25" s="550"/>
      <c r="D25" s="550"/>
      <c r="E25" s="550"/>
      <c r="F25" s="550"/>
      <c r="G25" s="550"/>
      <c r="H25" s="550"/>
      <c r="I25" s="550"/>
      <c r="J25" s="550"/>
      <c r="K25" s="550"/>
      <c r="L25" s="550"/>
      <c r="M25" s="550"/>
      <c r="N25" s="550"/>
      <c r="O25" s="550"/>
      <c r="P25" s="550"/>
      <c r="Q25" s="550"/>
      <c r="R25" s="550"/>
      <c r="S25" s="550"/>
      <c r="T25" s="550"/>
      <c r="U25" s="550"/>
      <c r="V25" s="550"/>
      <c r="W25" s="550"/>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row>
    <row r="26" spans="1:336" s="74" customFormat="1">
      <c r="A26" s="539" t="s">
        <v>129</v>
      </c>
      <c r="B26" s="538"/>
      <c r="C26" s="538"/>
      <c r="D26" s="538"/>
      <c r="E26" s="538"/>
      <c r="F26" s="538"/>
      <c r="G26" s="538"/>
      <c r="H26" s="538"/>
      <c r="I26" s="538"/>
      <c r="J26" s="538"/>
      <c r="K26" s="538"/>
      <c r="L26" s="538"/>
      <c r="M26" s="538"/>
      <c r="N26" s="538"/>
      <c r="O26" s="538"/>
      <c r="P26" s="538"/>
      <c r="Q26" s="538"/>
      <c r="R26" s="538"/>
      <c r="S26" s="538"/>
      <c r="T26" s="538"/>
      <c r="U26" s="538"/>
      <c r="V26" s="538"/>
      <c r="W26" s="538"/>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row>
    <row r="27" spans="1:336" s="12" customFormat="1">
      <c r="A27" s="578" t="s">
        <v>130</v>
      </c>
      <c r="B27" s="579"/>
      <c r="C27" s="579"/>
      <c r="D27" s="579"/>
      <c r="E27" s="579"/>
      <c r="F27" s="579"/>
      <c r="G27" s="579"/>
      <c r="H27" s="579"/>
      <c r="I27" s="579"/>
      <c r="J27" s="579"/>
      <c r="K27" s="579"/>
      <c r="L27" s="579"/>
      <c r="M27" s="579"/>
      <c r="N27" s="579"/>
      <c r="O27" s="579"/>
      <c r="P27" s="579"/>
      <c r="Q27" s="579"/>
      <c r="R27" s="579"/>
      <c r="S27" s="579"/>
      <c r="T27" s="579"/>
      <c r="U27" s="579"/>
      <c r="V27" s="579"/>
      <c r="W27" s="580"/>
    </row>
    <row r="28" spans="1:336" s="12" customFormat="1">
      <c r="A28" s="12" t="s">
        <v>131</v>
      </c>
      <c r="G28"/>
      <c r="H28"/>
    </row>
    <row r="29" spans="1:336" s="12" customFormat="1">
      <c r="A29" s="12" t="s">
        <v>132</v>
      </c>
      <c r="G29"/>
      <c r="H29"/>
    </row>
    <row r="30" spans="1:336" s="12" customFormat="1">
      <c r="G30"/>
      <c r="H30"/>
    </row>
    <row r="31" spans="1:336" s="12" customFormat="1">
      <c r="G31"/>
      <c r="H31"/>
    </row>
    <row r="32" spans="1:336" s="12" customFormat="1">
      <c r="G32"/>
      <c r="H32"/>
    </row>
    <row r="33" spans="7:8" s="12" customFormat="1">
      <c r="G33"/>
      <c r="H33"/>
    </row>
    <row r="34" spans="7:8" s="12" customFormat="1">
      <c r="G34"/>
      <c r="H34"/>
    </row>
    <row r="35" spans="7:8" s="12" customFormat="1">
      <c r="G35"/>
      <c r="H35"/>
    </row>
    <row r="36" spans="7:8" s="12" customFormat="1">
      <c r="G36"/>
      <c r="H36"/>
    </row>
  </sheetData>
  <mergeCells count="4">
    <mergeCell ref="A24:W24"/>
    <mergeCell ref="A25:W25"/>
    <mergeCell ref="A26:W26"/>
    <mergeCell ref="A27:W27"/>
  </mergeCells>
  <printOptions headings="1" gridLines="1"/>
  <pageMargins left="0.5" right="0.5" top="0.5" bottom="0.5" header="0" footer="0"/>
  <pageSetup paperSize="5" scale="67" orientation="landscape"/>
  <legacyDrawing r:id="rId1"/>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HL34"/>
  <sheetViews>
    <sheetView workbookViewId="0">
      <selection activeCell="E28" sqref="E28"/>
    </sheetView>
  </sheetViews>
  <sheetFormatPr defaultColWidth="8.85546875" defaultRowHeight="15"/>
  <cols>
    <col min="1" max="1" width="12.57031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1.42578125"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0.85546875" bestFit="1" customWidth="1"/>
    <col min="23" max="23" width="12.85546875" bestFit="1" customWidth="1"/>
  </cols>
  <sheetData>
    <row r="1" spans="1:220" s="7" customFormat="1" ht="18.75">
      <c r="A1" s="1" t="s">
        <v>133</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6" customFormat="1">
      <c r="A3" s="105">
        <v>2022</v>
      </c>
      <c r="B3" s="321">
        <v>10</v>
      </c>
      <c r="C3" s="321">
        <v>2.75</v>
      </c>
      <c r="D3" s="23">
        <f t="shared" ref="D3" si="0">SUM(B3:C3)</f>
        <v>12.75</v>
      </c>
      <c r="E3" s="82">
        <f>ROUND((O3/B3), 0)</f>
        <v>17</v>
      </c>
      <c r="F3" s="82">
        <f>ROUND((O3/D3), 0)</f>
        <v>13</v>
      </c>
      <c r="G3" s="321">
        <v>10</v>
      </c>
      <c r="H3" s="321">
        <v>2.75</v>
      </c>
      <c r="I3" s="321">
        <v>119</v>
      </c>
      <c r="J3" s="321">
        <v>28</v>
      </c>
      <c r="K3" s="23">
        <f>SUM(I3:J3)</f>
        <v>147</v>
      </c>
      <c r="L3" s="321">
        <v>19.25</v>
      </c>
      <c r="M3" s="82">
        <f>SUM(I3+L3)</f>
        <v>138.25</v>
      </c>
      <c r="N3" s="285" t="s">
        <v>40</v>
      </c>
      <c r="O3" s="321">
        <v>168.5</v>
      </c>
      <c r="P3" s="133">
        <f>M3/O3</f>
        <v>0.82047477744807118</v>
      </c>
      <c r="Q3" s="321">
        <v>63</v>
      </c>
      <c r="R3" s="321">
        <v>4</v>
      </c>
      <c r="S3" s="510">
        <v>1841581.62</v>
      </c>
      <c r="T3" s="28">
        <f t="shared" ref="T3" si="1">SUM(U3:V3)</f>
        <v>2134295.88</v>
      </c>
      <c r="U3" s="510">
        <v>1848743.96</v>
      </c>
      <c r="V3" s="510">
        <v>285551.92</v>
      </c>
      <c r="W3" s="135">
        <f>V3/T3</f>
        <v>0.13379209634233094</v>
      </c>
    </row>
    <row r="4" spans="1:220" s="6" customFormat="1">
      <c r="A4" s="105">
        <v>2021</v>
      </c>
      <c r="B4" s="321">
        <v>10</v>
      </c>
      <c r="C4" s="321">
        <v>3.75</v>
      </c>
      <c r="D4" s="23">
        <f>SUM(B4:C4)</f>
        <v>13.75</v>
      </c>
      <c r="E4" s="82">
        <f t="shared" ref="E4:E9" si="2">ROUND((O4/B4), 0)</f>
        <v>16</v>
      </c>
      <c r="F4" s="82">
        <f t="shared" ref="F4:F9" si="3">ROUND((O4/D4), 0)</f>
        <v>12</v>
      </c>
      <c r="G4" s="321">
        <v>10</v>
      </c>
      <c r="H4" s="321">
        <v>3.75</v>
      </c>
      <c r="I4" s="321">
        <v>120</v>
      </c>
      <c r="J4" s="321">
        <v>28</v>
      </c>
      <c r="K4" s="23">
        <f>SUM(I4:J4)</f>
        <v>148</v>
      </c>
      <c r="L4" s="321">
        <f>J4*0.36</f>
        <v>10.08</v>
      </c>
      <c r="M4" s="82">
        <f>SUM(I4+L4)</f>
        <v>130.08000000000001</v>
      </c>
      <c r="N4" s="285" t="s">
        <v>40</v>
      </c>
      <c r="O4" s="321">
        <v>164.75</v>
      </c>
      <c r="P4" s="133">
        <f>M5/O5</f>
        <v>0.93181818181818177</v>
      </c>
      <c r="Q4" s="321">
        <v>137</v>
      </c>
      <c r="R4" s="321">
        <v>9</v>
      </c>
      <c r="S4" s="20">
        <v>2104341</v>
      </c>
      <c r="T4" s="24">
        <v>3542176</v>
      </c>
      <c r="U4" s="20">
        <v>1698857</v>
      </c>
      <c r="V4" s="20">
        <v>1843319</v>
      </c>
      <c r="W4" s="135">
        <f>V4/T4</f>
        <v>0.52039170272736301</v>
      </c>
    </row>
    <row r="5" spans="1:220" s="6" customFormat="1">
      <c r="A5" s="105">
        <v>2020</v>
      </c>
      <c r="B5" s="321">
        <v>10</v>
      </c>
      <c r="C5" s="321">
        <v>2.5</v>
      </c>
      <c r="D5" s="23">
        <f>SUM(B5:C5)</f>
        <v>12.5</v>
      </c>
      <c r="E5" s="82">
        <f t="shared" si="2"/>
        <v>15</v>
      </c>
      <c r="F5" s="82">
        <f t="shared" si="3"/>
        <v>12</v>
      </c>
      <c r="G5" s="321">
        <v>10</v>
      </c>
      <c r="H5" s="321">
        <v>2.5</v>
      </c>
      <c r="I5" s="321">
        <v>131</v>
      </c>
      <c r="J5" s="321">
        <v>17</v>
      </c>
      <c r="K5" s="23">
        <f>SUM(I5:J5)</f>
        <v>148</v>
      </c>
      <c r="L5" s="321">
        <v>12.5</v>
      </c>
      <c r="M5" s="82">
        <f>(I5+L5)</f>
        <v>143.5</v>
      </c>
      <c r="N5" s="285" t="s">
        <v>40</v>
      </c>
      <c r="O5" s="321">
        <v>154</v>
      </c>
      <c r="P5" s="133">
        <f t="shared" ref="P5" si="4">M5/O5</f>
        <v>0.93181818181818177</v>
      </c>
      <c r="Q5" s="321">
        <v>74</v>
      </c>
      <c r="R5" s="321">
        <v>5</v>
      </c>
      <c r="S5" s="20">
        <v>2570425</v>
      </c>
      <c r="T5" s="24">
        <f>SUM(U5:V5)</f>
        <v>3422919</v>
      </c>
      <c r="U5" s="20">
        <v>1663994</v>
      </c>
      <c r="V5" s="20">
        <v>1758925</v>
      </c>
      <c r="W5" s="135">
        <f t="shared" ref="W5" si="5">V5/T5</f>
        <v>0.51386696559281708</v>
      </c>
    </row>
    <row r="6" spans="1:220" s="14" customFormat="1">
      <c r="A6" s="10">
        <v>2019</v>
      </c>
      <c r="B6" s="17">
        <v>10</v>
      </c>
      <c r="C6" s="17">
        <v>2.5</v>
      </c>
      <c r="D6" s="23">
        <f>SUM(B6:C6)</f>
        <v>12.5</v>
      </c>
      <c r="E6" s="82">
        <f t="shared" si="2"/>
        <v>14</v>
      </c>
      <c r="F6" s="82">
        <f t="shared" si="3"/>
        <v>11</v>
      </c>
      <c r="G6" s="17">
        <v>10</v>
      </c>
      <c r="H6" s="17">
        <v>2.5</v>
      </c>
      <c r="I6" s="17">
        <v>134</v>
      </c>
      <c r="J6" s="17">
        <v>14</v>
      </c>
      <c r="K6" s="23">
        <f>SUM(I6:J6)</f>
        <v>148</v>
      </c>
      <c r="L6" s="17">
        <v>12.25</v>
      </c>
      <c r="M6" s="82">
        <f>(I6+L6)</f>
        <v>146.25</v>
      </c>
      <c r="N6" s="285" t="s">
        <v>40</v>
      </c>
      <c r="O6" s="17">
        <v>141</v>
      </c>
      <c r="P6" s="133">
        <f t="shared" ref="P6" si="6">M6/O6</f>
        <v>1.0372340425531914</v>
      </c>
      <c r="Q6" s="17">
        <v>86</v>
      </c>
      <c r="R6" s="17">
        <v>5</v>
      </c>
      <c r="S6" s="20">
        <v>2601725</v>
      </c>
      <c r="T6" s="24">
        <f>SUM(U6:V6)</f>
        <v>3452117</v>
      </c>
      <c r="U6" s="20">
        <v>1559552</v>
      </c>
      <c r="V6" s="20">
        <v>1892565</v>
      </c>
      <c r="W6" s="135">
        <f t="shared" ref="W6" si="7">V6/T6</f>
        <v>0.54823315663982419</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11</v>
      </c>
      <c r="C7" s="17">
        <v>2.5</v>
      </c>
      <c r="D7" s="23">
        <f>SUM(B7:C7)</f>
        <v>13.5</v>
      </c>
      <c r="E7" s="82">
        <f t="shared" si="2"/>
        <v>16</v>
      </c>
      <c r="F7" s="82">
        <f t="shared" si="3"/>
        <v>13</v>
      </c>
      <c r="G7" s="17">
        <v>11</v>
      </c>
      <c r="H7" s="17">
        <v>2.5</v>
      </c>
      <c r="I7" s="17">
        <v>131</v>
      </c>
      <c r="J7" s="17">
        <v>20</v>
      </c>
      <c r="K7" s="23">
        <f t="shared" ref="K7" si="8">SUM(I7:J7)</f>
        <v>151</v>
      </c>
      <c r="L7" s="17">
        <v>12.25</v>
      </c>
      <c r="M7" s="82">
        <f>(I7+L7)</f>
        <v>143.25</v>
      </c>
      <c r="N7" s="285" t="s">
        <v>40</v>
      </c>
      <c r="O7" s="17">
        <v>173</v>
      </c>
      <c r="P7" s="133">
        <f>M7/O7</f>
        <v>0.8280346820809249</v>
      </c>
      <c r="Q7" s="17">
        <v>63</v>
      </c>
      <c r="R7" s="17">
        <v>7</v>
      </c>
      <c r="S7" s="20">
        <v>2501625</v>
      </c>
      <c r="T7" s="24">
        <f>SUM(U7:V7)</f>
        <v>1803793</v>
      </c>
      <c r="U7" s="20">
        <v>1642488</v>
      </c>
      <c r="V7" s="20">
        <v>161305</v>
      </c>
      <c r="W7" s="135">
        <f>V7/T7</f>
        <v>8.9425449594271622E-2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12</v>
      </c>
      <c r="C8" s="17">
        <v>2.5</v>
      </c>
      <c r="D8" s="27">
        <f>SUM(B8:C8)</f>
        <v>14.5</v>
      </c>
      <c r="E8" s="27">
        <f t="shared" si="2"/>
        <v>15</v>
      </c>
      <c r="F8" s="27">
        <f t="shared" si="3"/>
        <v>12</v>
      </c>
      <c r="G8" s="17">
        <v>12</v>
      </c>
      <c r="H8" s="17">
        <v>2.5</v>
      </c>
      <c r="I8" s="17">
        <v>128</v>
      </c>
      <c r="J8" s="17">
        <v>18</v>
      </c>
      <c r="K8" s="27">
        <f>SUM(I8:J8)</f>
        <v>146</v>
      </c>
      <c r="L8" s="17">
        <v>10.8</v>
      </c>
      <c r="M8" s="29">
        <f>(I8+L8)</f>
        <v>138.80000000000001</v>
      </c>
      <c r="N8" s="10" t="s">
        <v>40</v>
      </c>
      <c r="O8" s="255">
        <v>180</v>
      </c>
      <c r="P8" s="133">
        <f t="shared" ref="P8:P23" si="9">M8/O8</f>
        <v>0.77111111111111119</v>
      </c>
      <c r="Q8" s="17">
        <v>75</v>
      </c>
      <c r="R8" s="17">
        <v>1</v>
      </c>
      <c r="S8" s="223">
        <v>2403675</v>
      </c>
      <c r="T8" s="28">
        <f>SUM(U8:V8)</f>
        <v>3165157</v>
      </c>
      <c r="U8" s="252">
        <v>1667345</v>
      </c>
      <c r="V8" s="20">
        <v>1497812</v>
      </c>
      <c r="W8" s="135">
        <f t="shared" ref="W8:W23" si="10">V8/T8</f>
        <v>0.47321886402475455</v>
      </c>
    </row>
    <row r="9" spans="1:220" s="72" customFormat="1">
      <c r="A9" s="105">
        <v>2016</v>
      </c>
      <c r="B9" s="54">
        <v>12</v>
      </c>
      <c r="C9" s="54">
        <v>2.5</v>
      </c>
      <c r="D9" s="65">
        <f>B9+C9</f>
        <v>14.5</v>
      </c>
      <c r="E9" s="13">
        <f t="shared" si="2"/>
        <v>17</v>
      </c>
      <c r="F9" s="13">
        <f t="shared" si="3"/>
        <v>14</v>
      </c>
      <c r="G9" s="54">
        <v>12</v>
      </c>
      <c r="H9" s="54">
        <v>2.5</v>
      </c>
      <c r="I9" s="54">
        <v>144</v>
      </c>
      <c r="J9" s="54">
        <v>22</v>
      </c>
      <c r="K9" s="65">
        <f>I9+J9</f>
        <v>166</v>
      </c>
      <c r="L9" s="54">
        <v>12</v>
      </c>
      <c r="M9" s="13">
        <f>I9+L9</f>
        <v>156</v>
      </c>
      <c r="N9" s="10" t="s">
        <v>40</v>
      </c>
      <c r="O9" s="54">
        <v>198</v>
      </c>
      <c r="P9" s="133">
        <f t="shared" si="9"/>
        <v>0.78787878787878785</v>
      </c>
      <c r="Q9" s="54">
        <v>89</v>
      </c>
      <c r="R9" s="54">
        <v>1</v>
      </c>
      <c r="S9" s="55">
        <v>2305543</v>
      </c>
      <c r="T9" s="68">
        <f>SUM(U9:V9)</f>
        <v>2943681</v>
      </c>
      <c r="U9" s="55">
        <v>1600896</v>
      </c>
      <c r="V9" s="55">
        <v>1342785</v>
      </c>
      <c r="W9" s="135">
        <f t="shared" si="10"/>
        <v>0.45615846282256806</v>
      </c>
    </row>
    <row r="10" spans="1:220" s="16" customFormat="1">
      <c r="A10" s="15">
        <v>2015</v>
      </c>
      <c r="B10" s="70">
        <v>12</v>
      </c>
      <c r="C10" s="70">
        <v>2.75</v>
      </c>
      <c r="D10" s="65">
        <v>14.75</v>
      </c>
      <c r="E10" s="65">
        <v>15.9</v>
      </c>
      <c r="F10" s="65">
        <v>12.9</v>
      </c>
      <c r="G10" s="83"/>
      <c r="H10" s="83"/>
      <c r="I10" s="70">
        <v>147</v>
      </c>
      <c r="J10" s="70">
        <v>26</v>
      </c>
      <c r="K10" s="65">
        <v>173</v>
      </c>
      <c r="L10" s="70">
        <v>13</v>
      </c>
      <c r="M10" s="65">
        <v>159.5</v>
      </c>
      <c r="N10" s="10" t="s">
        <v>40</v>
      </c>
      <c r="O10" s="70">
        <v>191</v>
      </c>
      <c r="P10" s="133">
        <f t="shared" si="9"/>
        <v>0.83507853403141363</v>
      </c>
      <c r="Q10" s="70">
        <v>104</v>
      </c>
      <c r="R10" s="70">
        <v>1</v>
      </c>
      <c r="S10" s="78">
        <v>2164826</v>
      </c>
      <c r="T10" s="79">
        <v>2971905</v>
      </c>
      <c r="U10" s="78">
        <v>1631591</v>
      </c>
      <c r="V10" s="78">
        <v>1340314</v>
      </c>
      <c r="W10" s="135">
        <f t="shared" si="10"/>
        <v>0.45099490057723918</v>
      </c>
    </row>
    <row r="11" spans="1:220" s="16" customFormat="1">
      <c r="A11" s="15">
        <v>2014</v>
      </c>
      <c r="B11" s="70">
        <v>13</v>
      </c>
      <c r="C11" s="70">
        <v>3.25</v>
      </c>
      <c r="D11" s="65">
        <f>B11+C11</f>
        <v>16.25</v>
      </c>
      <c r="E11" s="13">
        <f t="shared" ref="E11:E23" si="11">ROUND((O11/B11), 0)</f>
        <v>16</v>
      </c>
      <c r="F11" s="13">
        <f t="shared" ref="F11:F23" si="12">ROUND((O11/D11), 0)</f>
        <v>13</v>
      </c>
      <c r="G11" s="83"/>
      <c r="H11" s="83"/>
      <c r="I11" s="70">
        <v>159</v>
      </c>
      <c r="J11" s="70">
        <v>34</v>
      </c>
      <c r="K11" s="65">
        <f>I11+J11</f>
        <v>193</v>
      </c>
      <c r="L11" s="70">
        <v>20</v>
      </c>
      <c r="M11" s="13">
        <f>I11+L11</f>
        <v>179</v>
      </c>
      <c r="N11" s="10" t="s">
        <v>40</v>
      </c>
      <c r="O11" s="70">
        <v>210</v>
      </c>
      <c r="P11" s="133">
        <f t="shared" si="9"/>
        <v>0.85238095238095235</v>
      </c>
      <c r="Q11" s="70">
        <v>82</v>
      </c>
      <c r="R11" s="70">
        <v>4</v>
      </c>
      <c r="S11" s="71">
        <v>2104905</v>
      </c>
      <c r="T11" s="68">
        <f t="shared" ref="T11:T23" si="13">SUM(U11:V11)</f>
        <v>2107621</v>
      </c>
      <c r="U11" s="71">
        <v>1578742</v>
      </c>
      <c r="V11" s="71">
        <v>528879</v>
      </c>
      <c r="W11" s="135">
        <f t="shared" si="10"/>
        <v>0.2509364824131094</v>
      </c>
    </row>
    <row r="12" spans="1:220">
      <c r="A12" s="15">
        <v>2013</v>
      </c>
      <c r="B12" s="528">
        <v>12</v>
      </c>
      <c r="C12" s="528">
        <v>1.25</v>
      </c>
      <c r="D12" s="23">
        <f>B12+C12</f>
        <v>13.25</v>
      </c>
      <c r="E12" s="82">
        <f t="shared" si="11"/>
        <v>18</v>
      </c>
      <c r="F12" s="82">
        <f t="shared" si="12"/>
        <v>16</v>
      </c>
      <c r="G12" s="85"/>
      <c r="H12" s="85"/>
      <c r="I12" s="528">
        <v>166</v>
      </c>
      <c r="J12" s="528">
        <v>39</v>
      </c>
      <c r="K12" s="23">
        <f>I12+J12</f>
        <v>205</v>
      </c>
      <c r="L12" s="528">
        <v>20.25</v>
      </c>
      <c r="M12" s="82">
        <f>I12+L12</f>
        <v>186.25</v>
      </c>
      <c r="N12" s="10" t="s">
        <v>40</v>
      </c>
      <c r="O12" s="528">
        <v>214.75</v>
      </c>
      <c r="P12" s="133">
        <f t="shared" si="9"/>
        <v>0.86728754365541327</v>
      </c>
      <c r="Q12" s="528">
        <v>84</v>
      </c>
      <c r="R12" s="528">
        <v>6</v>
      </c>
      <c r="S12" s="84">
        <v>2083247</v>
      </c>
      <c r="T12" s="24">
        <f t="shared" si="13"/>
        <v>2079866</v>
      </c>
      <c r="U12" s="84">
        <v>1706454</v>
      </c>
      <c r="V12" s="84">
        <v>373412</v>
      </c>
      <c r="W12" s="135">
        <f t="shared" si="10"/>
        <v>0.17953656629802112</v>
      </c>
    </row>
    <row r="13" spans="1:220">
      <c r="A13" s="15">
        <v>2012</v>
      </c>
      <c r="B13" s="528">
        <v>11</v>
      </c>
      <c r="C13" s="528">
        <v>2.5</v>
      </c>
      <c r="D13" s="23">
        <f>B13+C13</f>
        <v>13.5</v>
      </c>
      <c r="E13" s="82">
        <f t="shared" si="11"/>
        <v>18</v>
      </c>
      <c r="F13" s="82">
        <f t="shared" si="12"/>
        <v>15</v>
      </c>
      <c r="G13" s="85"/>
      <c r="H13" s="85"/>
      <c r="I13" s="528">
        <v>155</v>
      </c>
      <c r="J13" s="528">
        <v>36</v>
      </c>
      <c r="K13" s="23">
        <f>I13+J13</f>
        <v>191</v>
      </c>
      <c r="L13" s="528">
        <v>19.25</v>
      </c>
      <c r="M13" s="82">
        <f>I13+L13</f>
        <v>174.25</v>
      </c>
      <c r="N13" s="10" t="s">
        <v>40</v>
      </c>
      <c r="O13" s="528">
        <v>202.5</v>
      </c>
      <c r="P13" s="133">
        <f t="shared" si="9"/>
        <v>0.86049382716049383</v>
      </c>
      <c r="Q13" s="528">
        <v>74</v>
      </c>
      <c r="R13" s="528">
        <v>4</v>
      </c>
      <c r="S13" s="84">
        <v>2141161</v>
      </c>
      <c r="T13" s="24">
        <f t="shared" si="13"/>
        <v>2143819</v>
      </c>
      <c r="U13" s="84">
        <v>1704315</v>
      </c>
      <c r="V13" s="84">
        <v>439504</v>
      </c>
      <c r="W13" s="135">
        <f t="shared" si="10"/>
        <v>0.2050098445810957</v>
      </c>
    </row>
    <row r="14" spans="1:220">
      <c r="A14" s="15" t="s">
        <v>26</v>
      </c>
      <c r="B14" s="528">
        <v>11</v>
      </c>
      <c r="C14" s="528">
        <v>3.33</v>
      </c>
      <c r="D14" s="23">
        <f t="shared" ref="D14:D23" si="14">SUM(B14:C14)</f>
        <v>14.33</v>
      </c>
      <c r="E14" s="82">
        <f t="shared" si="11"/>
        <v>21</v>
      </c>
      <c r="F14" s="82">
        <f t="shared" si="12"/>
        <v>16</v>
      </c>
      <c r="G14" s="85"/>
      <c r="H14" s="85"/>
      <c r="I14" s="528">
        <v>157</v>
      </c>
      <c r="J14" s="528">
        <v>25</v>
      </c>
      <c r="K14" s="23">
        <f t="shared" ref="K14:K23" si="15">SUM(I14:J14)</f>
        <v>182</v>
      </c>
      <c r="L14" s="528">
        <v>14</v>
      </c>
      <c r="M14" s="82">
        <f t="shared" ref="M14:M23" si="16">(I14+L14)</f>
        <v>171</v>
      </c>
      <c r="N14" s="15" t="s">
        <v>40</v>
      </c>
      <c r="O14" s="528">
        <v>231.75</v>
      </c>
      <c r="P14" s="133">
        <f t="shared" si="9"/>
        <v>0.73786407766990292</v>
      </c>
      <c r="Q14" s="528">
        <v>74</v>
      </c>
      <c r="R14" s="528">
        <v>7</v>
      </c>
      <c r="S14" s="84">
        <v>1888785</v>
      </c>
      <c r="T14" s="24">
        <f t="shared" si="13"/>
        <v>1893378</v>
      </c>
      <c r="U14" s="84">
        <v>1499376</v>
      </c>
      <c r="V14" s="84">
        <v>394002</v>
      </c>
      <c r="W14" s="135">
        <f t="shared" si="10"/>
        <v>0.20809473861003983</v>
      </c>
    </row>
    <row r="15" spans="1:220">
      <c r="A15" s="15" t="s">
        <v>27</v>
      </c>
      <c r="B15" s="528">
        <v>9</v>
      </c>
      <c r="C15" s="528">
        <v>3</v>
      </c>
      <c r="D15" s="23">
        <f t="shared" si="14"/>
        <v>12</v>
      </c>
      <c r="E15" s="82">
        <f t="shared" si="11"/>
        <v>24</v>
      </c>
      <c r="F15" s="82">
        <f t="shared" si="12"/>
        <v>18</v>
      </c>
      <c r="G15" s="85"/>
      <c r="H15" s="85"/>
      <c r="I15" s="528">
        <v>145</v>
      </c>
      <c r="J15" s="528">
        <v>29</v>
      </c>
      <c r="K15" s="23">
        <f t="shared" si="15"/>
        <v>174</v>
      </c>
      <c r="L15" s="528">
        <v>15.5</v>
      </c>
      <c r="M15" s="82">
        <f t="shared" si="16"/>
        <v>160.5</v>
      </c>
      <c r="N15" s="15" t="s">
        <v>40</v>
      </c>
      <c r="O15" s="528">
        <v>219.36</v>
      </c>
      <c r="P15" s="133">
        <f t="shared" si="9"/>
        <v>0.73167396061269141</v>
      </c>
      <c r="Q15" s="528">
        <v>74</v>
      </c>
      <c r="R15" s="528">
        <v>1</v>
      </c>
      <c r="S15" s="84">
        <v>1886155</v>
      </c>
      <c r="T15" s="24">
        <f t="shared" si="13"/>
        <v>1884189</v>
      </c>
      <c r="U15" s="84">
        <v>1432918</v>
      </c>
      <c r="V15" s="84">
        <v>451271</v>
      </c>
      <c r="W15" s="135">
        <f t="shared" si="10"/>
        <v>0.23950410494913196</v>
      </c>
    </row>
    <row r="16" spans="1:220">
      <c r="A16" s="15" t="s">
        <v>28</v>
      </c>
      <c r="B16" s="528">
        <v>9</v>
      </c>
      <c r="C16" s="528">
        <v>2.66</v>
      </c>
      <c r="D16" s="23">
        <f t="shared" si="14"/>
        <v>11.66</v>
      </c>
      <c r="E16" s="82">
        <f t="shared" si="11"/>
        <v>23</v>
      </c>
      <c r="F16" s="82">
        <f t="shared" si="12"/>
        <v>18</v>
      </c>
      <c r="G16" s="85"/>
      <c r="H16" s="85"/>
      <c r="I16" s="528">
        <v>128</v>
      </c>
      <c r="J16" s="528">
        <v>32</v>
      </c>
      <c r="K16" s="23">
        <f t="shared" si="15"/>
        <v>160</v>
      </c>
      <c r="L16" s="528">
        <v>19.25</v>
      </c>
      <c r="M16" s="82">
        <f t="shared" si="16"/>
        <v>147.25</v>
      </c>
      <c r="N16" s="15" t="s">
        <v>40</v>
      </c>
      <c r="O16" s="528">
        <v>205.75</v>
      </c>
      <c r="P16" s="133">
        <f t="shared" si="9"/>
        <v>0.71567436208991497</v>
      </c>
      <c r="Q16" s="528">
        <v>62</v>
      </c>
      <c r="R16" s="528">
        <v>5</v>
      </c>
      <c r="S16" s="84">
        <v>1818026</v>
      </c>
      <c r="T16" s="24">
        <f t="shared" si="13"/>
        <v>1817059</v>
      </c>
      <c r="U16" s="84">
        <v>1388575</v>
      </c>
      <c r="V16" s="84">
        <v>428484</v>
      </c>
      <c r="W16" s="135">
        <f t="shared" si="10"/>
        <v>0.2358118255928949</v>
      </c>
    </row>
    <row r="17" spans="1:23">
      <c r="A17" s="15" t="s">
        <v>29</v>
      </c>
      <c r="B17" s="528">
        <v>10</v>
      </c>
      <c r="C17" s="528">
        <v>2.25</v>
      </c>
      <c r="D17" s="23">
        <f t="shared" si="14"/>
        <v>12.25</v>
      </c>
      <c r="E17" s="82">
        <f t="shared" si="11"/>
        <v>19</v>
      </c>
      <c r="F17" s="82">
        <f t="shared" si="12"/>
        <v>15</v>
      </c>
      <c r="G17" s="85"/>
      <c r="H17" s="85"/>
      <c r="I17" s="528">
        <v>123</v>
      </c>
      <c r="J17" s="528">
        <v>32</v>
      </c>
      <c r="K17" s="23">
        <f t="shared" si="15"/>
        <v>155</v>
      </c>
      <c r="L17" s="528">
        <v>16.5</v>
      </c>
      <c r="M17" s="82">
        <f t="shared" si="16"/>
        <v>139.5</v>
      </c>
      <c r="N17" s="15" t="s">
        <v>40</v>
      </c>
      <c r="O17" s="528">
        <v>189</v>
      </c>
      <c r="P17" s="133">
        <f t="shared" si="9"/>
        <v>0.73809523809523814</v>
      </c>
      <c r="Q17" s="528">
        <v>71</v>
      </c>
      <c r="R17" s="528">
        <v>5</v>
      </c>
      <c r="S17" s="84">
        <v>2112935</v>
      </c>
      <c r="T17" s="24">
        <f t="shared" si="13"/>
        <v>2111444</v>
      </c>
      <c r="U17" s="84">
        <v>1385565</v>
      </c>
      <c r="V17" s="84">
        <v>725879</v>
      </c>
      <c r="W17" s="135">
        <f t="shared" si="10"/>
        <v>0.34378321186827593</v>
      </c>
    </row>
    <row r="18" spans="1:23">
      <c r="A18" s="15">
        <v>2007</v>
      </c>
      <c r="B18" s="528">
        <v>10</v>
      </c>
      <c r="C18" s="528">
        <v>2.25</v>
      </c>
      <c r="D18" s="23">
        <f t="shared" si="14"/>
        <v>12.25</v>
      </c>
      <c r="E18" s="82">
        <f t="shared" si="11"/>
        <v>19</v>
      </c>
      <c r="F18" s="82">
        <f t="shared" si="12"/>
        <v>15</v>
      </c>
      <c r="G18" s="85"/>
      <c r="H18" s="85"/>
      <c r="I18" s="528">
        <v>119</v>
      </c>
      <c r="J18" s="528">
        <v>39</v>
      </c>
      <c r="K18" s="23">
        <f t="shared" si="15"/>
        <v>158</v>
      </c>
      <c r="L18" s="528">
        <v>19.25</v>
      </c>
      <c r="M18" s="82">
        <f t="shared" si="16"/>
        <v>138.25</v>
      </c>
      <c r="N18" s="15" t="s">
        <v>40</v>
      </c>
      <c r="O18" s="528">
        <v>185.25</v>
      </c>
      <c r="P18" s="133">
        <f t="shared" si="9"/>
        <v>0.74628879892037792</v>
      </c>
      <c r="Q18" s="528">
        <v>61</v>
      </c>
      <c r="R18" s="528">
        <v>3</v>
      </c>
      <c r="S18" s="132">
        <v>2807268</v>
      </c>
      <c r="T18" s="24">
        <f t="shared" si="13"/>
        <v>2817236</v>
      </c>
      <c r="U18" s="132">
        <v>1415037</v>
      </c>
      <c r="V18" s="132">
        <v>1402199</v>
      </c>
      <c r="W18" s="135">
        <f t="shared" si="10"/>
        <v>0.4977215256371848</v>
      </c>
    </row>
    <row r="19" spans="1:23">
      <c r="A19" s="15">
        <v>2006</v>
      </c>
      <c r="B19" s="528">
        <v>10</v>
      </c>
      <c r="C19" s="528">
        <v>2</v>
      </c>
      <c r="D19" s="23">
        <f t="shared" si="14"/>
        <v>12</v>
      </c>
      <c r="E19" s="82">
        <f t="shared" si="11"/>
        <v>18</v>
      </c>
      <c r="F19" s="82">
        <f t="shared" si="12"/>
        <v>15</v>
      </c>
      <c r="G19" s="85"/>
      <c r="H19" s="85"/>
      <c r="I19" s="528">
        <v>122</v>
      </c>
      <c r="J19" s="528">
        <v>33</v>
      </c>
      <c r="K19" s="23">
        <f t="shared" si="15"/>
        <v>155</v>
      </c>
      <c r="L19" s="528">
        <v>18</v>
      </c>
      <c r="M19" s="82">
        <f t="shared" si="16"/>
        <v>140</v>
      </c>
      <c r="N19" s="15" t="s">
        <v>40</v>
      </c>
      <c r="O19" s="528">
        <v>179</v>
      </c>
      <c r="P19" s="133">
        <f t="shared" si="9"/>
        <v>0.78212290502793291</v>
      </c>
      <c r="Q19" s="528">
        <v>65</v>
      </c>
      <c r="R19" s="528">
        <v>1</v>
      </c>
      <c r="S19" s="132">
        <v>2355615</v>
      </c>
      <c r="T19" s="24">
        <f t="shared" si="13"/>
        <v>2355100</v>
      </c>
      <c r="U19" s="132">
        <v>1344036</v>
      </c>
      <c r="V19" s="132">
        <v>1011064</v>
      </c>
      <c r="W19" s="135">
        <f t="shared" si="10"/>
        <v>0.42930830962591821</v>
      </c>
    </row>
    <row r="20" spans="1:23">
      <c r="A20" s="15">
        <v>2005</v>
      </c>
      <c r="B20" s="528">
        <v>10</v>
      </c>
      <c r="C20" s="528">
        <v>1</v>
      </c>
      <c r="D20" s="23">
        <f t="shared" si="14"/>
        <v>11</v>
      </c>
      <c r="E20" s="82">
        <f t="shared" si="11"/>
        <v>16</v>
      </c>
      <c r="F20" s="82">
        <f t="shared" si="12"/>
        <v>14</v>
      </c>
      <c r="G20" s="85"/>
      <c r="H20" s="85"/>
      <c r="I20" s="528">
        <v>119</v>
      </c>
      <c r="J20" s="528">
        <v>30</v>
      </c>
      <c r="K20" s="23">
        <f t="shared" si="15"/>
        <v>149</v>
      </c>
      <c r="L20" s="528">
        <v>17</v>
      </c>
      <c r="M20" s="82">
        <f t="shared" si="16"/>
        <v>136</v>
      </c>
      <c r="N20" s="15" t="s">
        <v>40</v>
      </c>
      <c r="O20" s="528">
        <v>155</v>
      </c>
      <c r="P20" s="133">
        <f t="shared" si="9"/>
        <v>0.8774193548387097</v>
      </c>
      <c r="Q20" s="528">
        <v>51</v>
      </c>
      <c r="R20" s="528">
        <v>1</v>
      </c>
      <c r="S20" s="132">
        <v>1597891</v>
      </c>
      <c r="T20" s="24">
        <f t="shared" si="13"/>
        <v>1599736</v>
      </c>
      <c r="U20" s="132">
        <v>1316544</v>
      </c>
      <c r="V20" s="132">
        <v>283192</v>
      </c>
      <c r="W20" s="135">
        <f t="shared" si="10"/>
        <v>0.17702420899448409</v>
      </c>
    </row>
    <row r="21" spans="1:23">
      <c r="A21" s="15">
        <v>2004</v>
      </c>
      <c r="B21" s="528">
        <v>9</v>
      </c>
      <c r="C21" s="528">
        <v>1</v>
      </c>
      <c r="D21" s="23">
        <f t="shared" si="14"/>
        <v>10</v>
      </c>
      <c r="E21" s="82">
        <f t="shared" si="11"/>
        <v>19</v>
      </c>
      <c r="F21" s="82">
        <f t="shared" si="12"/>
        <v>17</v>
      </c>
      <c r="G21" s="85"/>
      <c r="H21" s="85"/>
      <c r="I21" s="528">
        <v>110</v>
      </c>
      <c r="J21" s="528">
        <v>34</v>
      </c>
      <c r="K21" s="23">
        <f t="shared" si="15"/>
        <v>144</v>
      </c>
      <c r="L21" s="528">
        <v>17</v>
      </c>
      <c r="M21" s="82">
        <f t="shared" si="16"/>
        <v>127</v>
      </c>
      <c r="N21" s="15" t="s">
        <v>40</v>
      </c>
      <c r="O21" s="528">
        <v>169</v>
      </c>
      <c r="P21" s="133">
        <f t="shared" si="9"/>
        <v>0.75147928994082835</v>
      </c>
      <c r="Q21" s="528">
        <v>76</v>
      </c>
      <c r="R21" s="528">
        <v>0</v>
      </c>
      <c r="S21" s="132">
        <v>931554</v>
      </c>
      <c r="T21" s="24">
        <f t="shared" si="13"/>
        <v>938308</v>
      </c>
      <c r="U21" s="132">
        <v>851508</v>
      </c>
      <c r="V21" s="132">
        <v>86800</v>
      </c>
      <c r="W21" s="135">
        <f t="shared" si="10"/>
        <v>9.2506938020351523E-2</v>
      </c>
    </row>
    <row r="22" spans="1:23">
      <c r="A22" s="15">
        <v>2003</v>
      </c>
      <c r="B22" s="528">
        <v>8</v>
      </c>
      <c r="C22" s="528">
        <v>1</v>
      </c>
      <c r="D22" s="23">
        <f t="shared" si="14"/>
        <v>9</v>
      </c>
      <c r="E22" s="82">
        <f t="shared" si="11"/>
        <v>22</v>
      </c>
      <c r="F22" s="82">
        <f t="shared" si="12"/>
        <v>19</v>
      </c>
      <c r="G22" s="85"/>
      <c r="H22" s="85"/>
      <c r="I22" s="528">
        <v>121</v>
      </c>
      <c r="J22" s="528">
        <v>27</v>
      </c>
      <c r="K22" s="23">
        <f t="shared" si="15"/>
        <v>148</v>
      </c>
      <c r="L22" s="528">
        <v>11</v>
      </c>
      <c r="M22" s="82">
        <f t="shared" si="16"/>
        <v>132</v>
      </c>
      <c r="N22" s="15" t="s">
        <v>40</v>
      </c>
      <c r="O22" s="528">
        <v>173</v>
      </c>
      <c r="P22" s="133">
        <f t="shared" si="9"/>
        <v>0.76300578034682076</v>
      </c>
      <c r="Q22" s="528">
        <v>52</v>
      </c>
      <c r="R22" s="528">
        <v>0</v>
      </c>
      <c r="S22" s="132">
        <v>904268</v>
      </c>
      <c r="T22" s="24">
        <f t="shared" si="13"/>
        <v>889299</v>
      </c>
      <c r="U22" s="132">
        <v>824899</v>
      </c>
      <c r="V22" s="132">
        <v>64400</v>
      </c>
      <c r="W22" s="135">
        <f t="shared" si="10"/>
        <v>7.2416588796344092E-2</v>
      </c>
    </row>
    <row r="23" spans="1:23">
      <c r="A23" s="15">
        <v>2002</v>
      </c>
      <c r="B23" s="528">
        <v>7</v>
      </c>
      <c r="C23" s="528">
        <v>0.75</v>
      </c>
      <c r="D23" s="23">
        <f t="shared" si="14"/>
        <v>7.75</v>
      </c>
      <c r="E23" s="82">
        <f t="shared" si="11"/>
        <v>26</v>
      </c>
      <c r="F23" s="82">
        <f t="shared" si="12"/>
        <v>23</v>
      </c>
      <c r="G23" s="85"/>
      <c r="H23" s="85"/>
      <c r="I23" s="528">
        <v>132</v>
      </c>
      <c r="J23" s="528">
        <v>27</v>
      </c>
      <c r="K23" s="23">
        <f t="shared" si="15"/>
        <v>159</v>
      </c>
      <c r="L23" s="528">
        <f>ROUND(11.4, 0)</f>
        <v>11</v>
      </c>
      <c r="M23" s="82">
        <f t="shared" si="16"/>
        <v>143</v>
      </c>
      <c r="N23" s="15" t="s">
        <v>40</v>
      </c>
      <c r="O23" s="528">
        <f>ROUND(178.9, 0)</f>
        <v>179</v>
      </c>
      <c r="P23" s="133">
        <f t="shared" si="9"/>
        <v>0.7988826815642458</v>
      </c>
      <c r="Q23" s="528">
        <v>77</v>
      </c>
      <c r="R23" s="528">
        <v>4</v>
      </c>
      <c r="S23" s="132">
        <v>804618</v>
      </c>
      <c r="T23" s="24">
        <f t="shared" si="13"/>
        <v>788879</v>
      </c>
      <c r="U23" s="132">
        <v>724479</v>
      </c>
      <c r="V23" s="132">
        <v>64400</v>
      </c>
      <c r="W23" s="135">
        <f t="shared" si="10"/>
        <v>8.1634826126693705E-2</v>
      </c>
    </row>
    <row r="24" spans="1:23" s="12" customFormat="1"/>
    <row r="25" spans="1:23" s="12" customFormat="1" ht="30" customHeight="1">
      <c r="A25" s="555" t="s">
        <v>134</v>
      </c>
      <c r="B25" s="555"/>
      <c r="C25" s="555"/>
      <c r="D25" s="555"/>
      <c r="E25" s="555"/>
      <c r="F25" s="555"/>
      <c r="G25" s="555"/>
      <c r="H25" s="555"/>
      <c r="I25" s="555"/>
      <c r="J25" s="555"/>
      <c r="K25" s="555"/>
      <c r="L25" s="555"/>
    </row>
    <row r="26" spans="1:23" s="12" customFormat="1"/>
    <row r="27" spans="1:23" s="12" customFormat="1"/>
    <row r="28" spans="1:23" s="12" customFormat="1"/>
    <row r="29" spans="1:23" s="12" customFormat="1"/>
    <row r="30" spans="1:23" s="12" customFormat="1"/>
    <row r="31" spans="1:23" s="12" customFormat="1"/>
    <row r="32" spans="1:23" s="12" customFormat="1"/>
    <row r="33" s="12" customFormat="1"/>
    <row r="34" s="12" customFormat="1"/>
  </sheetData>
  <mergeCells count="1">
    <mergeCell ref="A25:L25"/>
  </mergeCells>
  <printOptions headings="1" gridLines="1"/>
  <pageMargins left="0.5" right="0.5" top="0.5" bottom="0.5" header="0" footer="0"/>
  <pageSetup paperSize="5" scale="67" orientation="landscape"/>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L36"/>
  <sheetViews>
    <sheetView workbookViewId="0">
      <selection activeCell="G8" sqref="G8"/>
    </sheetView>
  </sheetViews>
  <sheetFormatPr defaultColWidth="8.85546875" defaultRowHeight="15"/>
  <cols>
    <col min="1" max="1" width="10.85546875" customWidth="1"/>
    <col min="2" max="2" width="8.42578125"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3" width="13.140625" bestFit="1" customWidth="1"/>
    <col min="14" max="14" width="11.140625"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0.85546875" bestFit="1" customWidth="1"/>
    <col min="23" max="23" width="12.85546875" bestFit="1" customWidth="1"/>
  </cols>
  <sheetData>
    <row r="1" spans="1:220" s="1" customFormat="1" ht="18.75">
      <c r="A1" s="1" t="s">
        <v>33</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row>
    <row r="2" spans="1:220" s="3"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row>
    <row r="3" spans="1:220" s="3" customFormat="1">
      <c r="A3" s="105">
        <v>2022</v>
      </c>
      <c r="B3" s="17">
        <v>15</v>
      </c>
      <c r="C3" s="17">
        <v>24.25</v>
      </c>
      <c r="D3" s="23">
        <f>SUM(B3:C3)</f>
        <v>39.25</v>
      </c>
      <c r="E3" s="82">
        <f>ROUND((O3/B3),0)</f>
        <v>86</v>
      </c>
      <c r="F3" s="82">
        <f>ROUND((O3/D3),0)</f>
        <v>33</v>
      </c>
      <c r="G3" s="17">
        <v>11</v>
      </c>
      <c r="H3" s="17">
        <v>6.75</v>
      </c>
      <c r="I3" s="17">
        <v>121</v>
      </c>
      <c r="J3" s="17">
        <v>204</v>
      </c>
      <c r="K3" s="23">
        <f>SUM(I3:J3)</f>
        <v>325</v>
      </c>
      <c r="L3" s="17">
        <v>73.44</v>
      </c>
      <c r="M3" s="82">
        <f>(I3+L3)</f>
        <v>194.44</v>
      </c>
      <c r="N3" s="17">
        <v>99</v>
      </c>
      <c r="O3" s="254">
        <v>1297</v>
      </c>
      <c r="P3" s="133">
        <f>M3/O3</f>
        <v>0.14991518889745567</v>
      </c>
      <c r="Q3" s="17">
        <v>87</v>
      </c>
      <c r="R3" s="17">
        <v>406</v>
      </c>
      <c r="S3" s="20">
        <v>5496057</v>
      </c>
      <c r="T3" s="24">
        <f>SUM(U3:V3)</f>
        <v>7686218</v>
      </c>
      <c r="U3" s="20">
        <v>6046248</v>
      </c>
      <c r="V3" s="20">
        <v>1639970</v>
      </c>
      <c r="W3" s="135">
        <f>V3/T3</f>
        <v>0.21336501254583204</v>
      </c>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row>
    <row r="4" spans="1:220" s="3" customFormat="1">
      <c r="A4" s="105">
        <v>2021</v>
      </c>
      <c r="B4" s="17">
        <v>29</v>
      </c>
      <c r="C4" s="17">
        <v>35.67</v>
      </c>
      <c r="D4" s="23">
        <f>SUM(B4:C4)</f>
        <v>64.67</v>
      </c>
      <c r="E4" s="82">
        <f t="shared" ref="E4" si="0">ROUND((O4/B4), 0)</f>
        <v>35</v>
      </c>
      <c r="F4" s="82">
        <f t="shared" ref="F4" si="1">ROUND((O4/D4), 0)</f>
        <v>15</v>
      </c>
      <c r="G4" s="17">
        <v>14</v>
      </c>
      <c r="H4" s="17">
        <v>2.75</v>
      </c>
      <c r="I4" s="17">
        <v>106</v>
      </c>
      <c r="J4" s="17">
        <v>163</v>
      </c>
      <c r="K4" s="23">
        <f t="shared" ref="K4" si="2">SUM(I4:J4)</f>
        <v>269</v>
      </c>
      <c r="L4" s="17">
        <v>77.22</v>
      </c>
      <c r="M4" s="82">
        <f>(I4+L4)</f>
        <v>183.22</v>
      </c>
      <c r="N4" s="17">
        <v>59</v>
      </c>
      <c r="O4" s="17">
        <v>1001</v>
      </c>
      <c r="P4" s="133">
        <f t="shared" ref="P4" si="3">M4/O4</f>
        <v>0.18303696303696304</v>
      </c>
      <c r="Q4" s="17">
        <v>46</v>
      </c>
      <c r="R4" s="17">
        <v>342</v>
      </c>
      <c r="S4" s="20">
        <v>6653780</v>
      </c>
      <c r="T4" s="24">
        <f t="shared" ref="T4" si="4">SUM(U4:V4)</f>
        <v>8081609</v>
      </c>
      <c r="U4" s="20">
        <v>7291267</v>
      </c>
      <c r="V4" s="20">
        <v>790342</v>
      </c>
      <c r="W4" s="135">
        <f>V4/T4</f>
        <v>9.7795129657967869E-2</v>
      </c>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row>
    <row r="5" spans="1:220" s="3" customFormat="1">
      <c r="A5" s="105">
        <v>2020</v>
      </c>
      <c r="B5" s="17">
        <v>25</v>
      </c>
      <c r="C5" s="17">
        <v>33</v>
      </c>
      <c r="D5" s="23">
        <f>SUM(B5:C5)</f>
        <v>58</v>
      </c>
      <c r="E5" s="82">
        <f>ROUND((O5/B5), 0)</f>
        <v>39</v>
      </c>
      <c r="F5" s="82">
        <f>ROUND((O5/D5), 0)</f>
        <v>17</v>
      </c>
      <c r="G5" s="17">
        <v>13</v>
      </c>
      <c r="H5" s="17">
        <v>2.25</v>
      </c>
      <c r="I5" s="17">
        <v>57</v>
      </c>
      <c r="J5" s="17">
        <v>114</v>
      </c>
      <c r="K5" s="23">
        <f>SUM(I5:J5)</f>
        <v>171</v>
      </c>
      <c r="L5" s="17">
        <f>J5*0.36</f>
        <v>41.04</v>
      </c>
      <c r="M5" s="82">
        <f>(I5+L5)</f>
        <v>98.039999999999992</v>
      </c>
      <c r="N5" s="17">
        <f>(171-118)</f>
        <v>53</v>
      </c>
      <c r="O5" s="17">
        <v>969</v>
      </c>
      <c r="P5" s="133">
        <f t="shared" ref="P5" si="5">M5/O5</f>
        <v>0.10117647058823528</v>
      </c>
      <c r="Q5" s="17">
        <v>55</v>
      </c>
      <c r="R5" s="17">
        <f>1+3+17+200+122</f>
        <v>343</v>
      </c>
      <c r="S5" s="20">
        <v>4799634</v>
      </c>
      <c r="T5" s="24">
        <v>5261918</v>
      </c>
      <c r="U5" s="20">
        <v>4828117</v>
      </c>
      <c r="V5" s="20">
        <v>433801</v>
      </c>
      <c r="W5" s="135">
        <f>V5/T5</f>
        <v>8.2441611594859521E-2</v>
      </c>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row>
    <row r="6" spans="1:220" s="3" customFormat="1">
      <c r="A6" s="105">
        <v>2019</v>
      </c>
      <c r="B6" s="17">
        <v>24</v>
      </c>
      <c r="C6" s="17">
        <v>14.5</v>
      </c>
      <c r="D6" s="23">
        <f>SUM(B6:C6)</f>
        <v>38.5</v>
      </c>
      <c r="E6" s="82">
        <f>ROUND((O6/B6), 0)</f>
        <v>35</v>
      </c>
      <c r="F6" s="82">
        <f>ROUND((O6/D6), 0)</f>
        <v>22</v>
      </c>
      <c r="G6" s="17">
        <v>11</v>
      </c>
      <c r="H6" s="17">
        <v>4</v>
      </c>
      <c r="I6" s="17">
        <v>55</v>
      </c>
      <c r="J6" s="17">
        <v>101</v>
      </c>
      <c r="K6" s="23">
        <f>SUM(I6:J6)</f>
        <v>156</v>
      </c>
      <c r="L6" s="17">
        <v>37.15</v>
      </c>
      <c r="M6" s="82">
        <f>(I6+L6)</f>
        <v>92.15</v>
      </c>
      <c r="N6" s="17">
        <v>38</v>
      </c>
      <c r="O6" s="17">
        <v>842</v>
      </c>
      <c r="P6" s="133">
        <f>M6/O6</f>
        <v>0.10944180522565321</v>
      </c>
      <c r="Q6" s="17">
        <v>35</v>
      </c>
      <c r="R6" s="17">
        <v>337</v>
      </c>
      <c r="S6" s="20">
        <v>4340410</v>
      </c>
      <c r="T6" s="24">
        <f>SUM(U6:V6)</f>
        <v>5725468</v>
      </c>
      <c r="U6" s="20">
        <v>4719153</v>
      </c>
      <c r="V6" s="20">
        <v>1006315</v>
      </c>
      <c r="W6" s="135">
        <f>V6/T6</f>
        <v>0.17576117795086796</v>
      </c>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row>
    <row r="7" spans="1:220" s="14" customFormat="1">
      <c r="A7" s="10">
        <v>2018</v>
      </c>
      <c r="B7" s="17">
        <v>20</v>
      </c>
      <c r="C7" s="17">
        <v>21.25</v>
      </c>
      <c r="D7" s="23">
        <f>SUM(B7:C7)</f>
        <v>41.25</v>
      </c>
      <c r="E7" s="82">
        <f>ROUND((O7/B7), 0)</f>
        <v>35</v>
      </c>
      <c r="F7" s="82">
        <f>ROUND((O7/D7), 0)</f>
        <v>17</v>
      </c>
      <c r="G7" s="17">
        <v>7</v>
      </c>
      <c r="H7" s="17">
        <v>1.25</v>
      </c>
      <c r="I7" s="17">
        <v>43</v>
      </c>
      <c r="J7" s="17">
        <v>70</v>
      </c>
      <c r="K7" s="23">
        <f>SUM(I7:J7)</f>
        <v>113</v>
      </c>
      <c r="L7" s="17">
        <v>25.2</v>
      </c>
      <c r="M7" s="82">
        <f>(I7+L7)</f>
        <v>68.2</v>
      </c>
      <c r="N7" s="17">
        <v>18</v>
      </c>
      <c r="O7" s="17">
        <v>708</v>
      </c>
      <c r="P7" s="133">
        <f>M7/O7</f>
        <v>9.6327683615819212E-2</v>
      </c>
      <c r="Q7" s="17">
        <v>38</v>
      </c>
      <c r="R7" s="17">
        <v>186</v>
      </c>
      <c r="S7" s="20">
        <v>2696518</v>
      </c>
      <c r="T7" s="24">
        <f>SUM(U7:V7)</f>
        <v>3597692</v>
      </c>
      <c r="U7" s="20">
        <v>2678144</v>
      </c>
      <c r="V7" s="20">
        <v>919548</v>
      </c>
      <c r="W7" s="135">
        <f>V7/T7</f>
        <v>0.25559386406618467</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11" customFormat="1">
      <c r="A8" s="10">
        <v>2017</v>
      </c>
      <c r="B8" s="17">
        <v>8</v>
      </c>
      <c r="C8" s="17">
        <v>3.75</v>
      </c>
      <c r="D8" s="65">
        <f>B8+C8</f>
        <v>11.75</v>
      </c>
      <c r="E8" s="13">
        <f>ROUND((O8/B8), 0)</f>
        <v>48</v>
      </c>
      <c r="F8" s="13">
        <f>ROUND((O8/D8), 0)</f>
        <v>32</v>
      </c>
      <c r="G8" s="17">
        <v>6</v>
      </c>
      <c r="H8" s="17">
        <v>1</v>
      </c>
      <c r="I8" s="17">
        <v>50</v>
      </c>
      <c r="J8" s="17">
        <v>49</v>
      </c>
      <c r="K8" s="65">
        <f>SUM(I8:J8)</f>
        <v>99</v>
      </c>
      <c r="L8" s="17">
        <v>17.829999999999998</v>
      </c>
      <c r="M8" s="13">
        <f>I8+L8</f>
        <v>67.83</v>
      </c>
      <c r="N8" s="17">
        <v>13</v>
      </c>
      <c r="O8" s="17">
        <v>380.04</v>
      </c>
      <c r="P8" s="133">
        <f t="shared" ref="P8:P23" si="6">M8/O8</f>
        <v>0.17848121250394694</v>
      </c>
      <c r="Q8" s="17">
        <v>42</v>
      </c>
      <c r="R8" s="17">
        <v>123</v>
      </c>
      <c r="S8" s="18">
        <v>2263520</v>
      </c>
      <c r="T8" s="68">
        <f>SUM(U8:V8)</f>
        <v>2357744</v>
      </c>
      <c r="U8" s="18">
        <v>2110661</v>
      </c>
      <c r="V8" s="18">
        <v>247083</v>
      </c>
      <c r="W8" s="135">
        <f t="shared" ref="W8:W23" si="7">V8/T8</f>
        <v>0.10479636466045508</v>
      </c>
    </row>
    <row r="9" spans="1:220" s="11" customFormat="1">
      <c r="A9" s="10">
        <v>2016</v>
      </c>
      <c r="B9" s="54">
        <v>9</v>
      </c>
      <c r="C9" s="54">
        <v>7.25</v>
      </c>
      <c r="D9" s="65">
        <f>B9+C9</f>
        <v>16.25</v>
      </c>
      <c r="E9" s="13">
        <f>ROUND((O9/B9), 0)</f>
        <v>43</v>
      </c>
      <c r="F9" s="13">
        <f>ROUND((O9/D9), 0)</f>
        <v>24</v>
      </c>
      <c r="G9" s="54">
        <v>6</v>
      </c>
      <c r="H9" s="54">
        <v>5</v>
      </c>
      <c r="I9" s="54">
        <v>48</v>
      </c>
      <c r="J9" s="54">
        <v>33</v>
      </c>
      <c r="K9" s="65">
        <f>SUM(I9:J9)</f>
        <v>81</v>
      </c>
      <c r="L9" s="54">
        <v>13.5</v>
      </c>
      <c r="M9" s="13">
        <f>I9+L9</f>
        <v>61.5</v>
      </c>
      <c r="N9" s="54">
        <v>16</v>
      </c>
      <c r="O9" s="54">
        <v>390.7</v>
      </c>
      <c r="P9" s="133">
        <f t="shared" si="6"/>
        <v>0.15740977732275405</v>
      </c>
      <c r="Q9" s="54">
        <v>52</v>
      </c>
      <c r="R9" s="54">
        <v>119</v>
      </c>
      <c r="S9" s="58">
        <v>2031001</v>
      </c>
      <c r="T9" s="68">
        <f>SUM(U9:V9)</f>
        <v>2047472</v>
      </c>
      <c r="U9" s="58">
        <v>1455810</v>
      </c>
      <c r="V9" s="58">
        <v>591662</v>
      </c>
      <c r="W9" s="135">
        <f t="shared" si="7"/>
        <v>0.2889719615213297</v>
      </c>
    </row>
    <row r="10" spans="1:220">
      <c r="A10" s="15">
        <v>2015</v>
      </c>
      <c r="B10" s="528">
        <v>7</v>
      </c>
      <c r="C10" s="528">
        <v>5</v>
      </c>
      <c r="D10" s="23">
        <v>12</v>
      </c>
      <c r="E10" s="23">
        <v>10.9</v>
      </c>
      <c r="F10" s="23">
        <v>6.4</v>
      </c>
      <c r="G10" s="83"/>
      <c r="H10" s="83"/>
      <c r="I10" s="528">
        <v>43</v>
      </c>
      <c r="J10" s="528">
        <v>62</v>
      </c>
      <c r="K10" s="23">
        <v>105</v>
      </c>
      <c r="L10" s="528">
        <v>33</v>
      </c>
      <c r="M10" s="23">
        <v>75.75</v>
      </c>
      <c r="N10" s="528">
        <v>16</v>
      </c>
      <c r="O10" s="528">
        <v>76.5</v>
      </c>
      <c r="P10" s="133">
        <f t="shared" si="6"/>
        <v>0.99019607843137258</v>
      </c>
      <c r="Q10" s="528">
        <v>65</v>
      </c>
      <c r="R10" s="528">
        <v>0</v>
      </c>
      <c r="S10" s="132">
        <v>2115525</v>
      </c>
      <c r="T10" s="24">
        <v>2091839</v>
      </c>
      <c r="U10" s="132">
        <v>1558004</v>
      </c>
      <c r="V10" s="132">
        <v>533835</v>
      </c>
      <c r="W10" s="135">
        <f t="shared" si="7"/>
        <v>0.25519889436997778</v>
      </c>
    </row>
    <row r="11" spans="1:220">
      <c r="A11" s="15">
        <v>2014</v>
      </c>
      <c r="B11" s="528">
        <v>9</v>
      </c>
      <c r="C11" s="528">
        <v>4</v>
      </c>
      <c r="D11" s="23">
        <f>B11+C11</f>
        <v>13</v>
      </c>
      <c r="E11" s="82">
        <f t="shared" ref="E11:E23" si="8">ROUND((O11/B11), 0)</f>
        <v>9</v>
      </c>
      <c r="F11" s="82">
        <f t="shared" ref="F11:F23" si="9">ROUND((O11/D11), 0)</f>
        <v>6</v>
      </c>
      <c r="G11" s="83"/>
      <c r="H11" s="83"/>
      <c r="I11" s="528">
        <v>39</v>
      </c>
      <c r="J11" s="528">
        <v>77</v>
      </c>
      <c r="K11" s="23">
        <f t="shared" ref="K11:K23" si="10">SUM(I11:J11)</f>
        <v>116</v>
      </c>
      <c r="L11" s="528">
        <v>37.75</v>
      </c>
      <c r="M11" s="82">
        <f>I11+L11</f>
        <v>76.75</v>
      </c>
      <c r="N11" s="528">
        <v>13</v>
      </c>
      <c r="O11" s="528">
        <v>78</v>
      </c>
      <c r="P11" s="133">
        <f t="shared" si="6"/>
        <v>0.98397435897435892</v>
      </c>
      <c r="Q11" s="528">
        <v>79</v>
      </c>
      <c r="R11" s="528">
        <v>0</v>
      </c>
      <c r="S11" s="84">
        <v>2460687</v>
      </c>
      <c r="T11" s="24">
        <f t="shared" ref="T11:T23" si="11">SUM(U11:V11)</f>
        <v>2368701</v>
      </c>
      <c r="U11" s="84">
        <v>1518382</v>
      </c>
      <c r="V11" s="84">
        <v>850319</v>
      </c>
      <c r="W11" s="135">
        <f t="shared" si="7"/>
        <v>0.35898114620629618</v>
      </c>
      <c r="X11" s="59"/>
    </row>
    <row r="12" spans="1:220">
      <c r="A12" s="15" t="s">
        <v>34</v>
      </c>
      <c r="B12" s="528">
        <v>9</v>
      </c>
      <c r="C12" s="528">
        <v>3.5</v>
      </c>
      <c r="D12" s="23">
        <f>B12+C12</f>
        <v>12.5</v>
      </c>
      <c r="E12" s="82">
        <f t="shared" si="8"/>
        <v>11</v>
      </c>
      <c r="F12" s="82">
        <f t="shared" si="9"/>
        <v>8</v>
      </c>
      <c r="G12" s="85"/>
      <c r="H12" s="85"/>
      <c r="I12" s="528">
        <v>53</v>
      </c>
      <c r="J12" s="528">
        <v>91</v>
      </c>
      <c r="K12" s="23">
        <f t="shared" si="10"/>
        <v>144</v>
      </c>
      <c r="L12" s="528">
        <v>48.16</v>
      </c>
      <c r="M12" s="82">
        <f>I12+L12</f>
        <v>101.16</v>
      </c>
      <c r="N12" s="528">
        <v>16</v>
      </c>
      <c r="O12" s="528">
        <v>101.91</v>
      </c>
      <c r="P12" s="133">
        <f t="shared" si="6"/>
        <v>0.99264056520459232</v>
      </c>
      <c r="Q12" s="528">
        <v>87</v>
      </c>
      <c r="R12" s="528">
        <v>0</v>
      </c>
      <c r="S12" s="84">
        <v>2173157</v>
      </c>
      <c r="T12" s="24">
        <f t="shared" si="11"/>
        <v>2396270</v>
      </c>
      <c r="U12" s="84">
        <v>1390458</v>
      </c>
      <c r="V12" s="84">
        <v>1005812</v>
      </c>
      <c r="W12" s="135">
        <f t="shared" si="7"/>
        <v>0.41974068030731093</v>
      </c>
    </row>
    <row r="13" spans="1:220">
      <c r="A13" s="15">
        <v>2012</v>
      </c>
      <c r="B13" s="528">
        <v>9</v>
      </c>
      <c r="C13" s="528">
        <v>4</v>
      </c>
      <c r="D13" s="23">
        <f>B13+C13</f>
        <v>13</v>
      </c>
      <c r="E13" s="82">
        <f t="shared" si="8"/>
        <v>14</v>
      </c>
      <c r="F13" s="82">
        <f t="shared" si="9"/>
        <v>9</v>
      </c>
      <c r="G13" s="85"/>
      <c r="H13" s="85"/>
      <c r="I13" s="528">
        <v>68</v>
      </c>
      <c r="J13" s="528">
        <v>102</v>
      </c>
      <c r="K13" s="23">
        <f t="shared" si="10"/>
        <v>170</v>
      </c>
      <c r="L13" s="528">
        <v>53.489999999999995</v>
      </c>
      <c r="M13" s="82">
        <f>I13+L13</f>
        <v>121.49</v>
      </c>
      <c r="N13" s="528">
        <v>9</v>
      </c>
      <c r="O13" s="528">
        <v>122.49</v>
      </c>
      <c r="P13" s="133">
        <f t="shared" si="6"/>
        <v>0.99183606825046944</v>
      </c>
      <c r="Q13" s="528">
        <v>76</v>
      </c>
      <c r="R13" s="528">
        <v>0</v>
      </c>
      <c r="S13" s="84">
        <v>3025284</v>
      </c>
      <c r="T13" s="24">
        <f t="shared" si="11"/>
        <v>3057950</v>
      </c>
      <c r="U13" s="84">
        <v>1402811</v>
      </c>
      <c r="V13" s="84">
        <v>1655139</v>
      </c>
      <c r="W13" s="135">
        <f t="shared" si="7"/>
        <v>0.54125770532546313</v>
      </c>
    </row>
    <row r="14" spans="1:220">
      <c r="A14" s="15" t="s">
        <v>26</v>
      </c>
      <c r="B14" s="528">
        <v>9</v>
      </c>
      <c r="C14" s="528">
        <v>4</v>
      </c>
      <c r="D14" s="23">
        <f t="shared" ref="D14:D23" si="12">SUM(B14:C14)</f>
        <v>13</v>
      </c>
      <c r="E14" s="82">
        <f t="shared" si="8"/>
        <v>15</v>
      </c>
      <c r="F14" s="82">
        <f t="shared" si="9"/>
        <v>11</v>
      </c>
      <c r="G14" s="85"/>
      <c r="H14" s="85"/>
      <c r="I14" s="528">
        <v>83</v>
      </c>
      <c r="J14" s="528">
        <v>108</v>
      </c>
      <c r="K14" s="23">
        <f t="shared" si="10"/>
        <v>191</v>
      </c>
      <c r="L14" s="528">
        <v>53</v>
      </c>
      <c r="M14" s="82">
        <f t="shared" ref="M14:M23" si="13">(I14+L14)</f>
        <v>136</v>
      </c>
      <c r="N14" s="528">
        <v>17</v>
      </c>
      <c r="O14" s="528">
        <v>137</v>
      </c>
      <c r="P14" s="133">
        <f t="shared" si="6"/>
        <v>0.99270072992700731</v>
      </c>
      <c r="Q14" s="528">
        <v>108</v>
      </c>
      <c r="R14" s="528">
        <v>0</v>
      </c>
      <c r="S14" s="84">
        <v>2783743</v>
      </c>
      <c r="T14" s="24">
        <f t="shared" si="11"/>
        <v>2910853.84</v>
      </c>
      <c r="U14" s="84">
        <v>1621769.58</v>
      </c>
      <c r="V14" s="84">
        <v>1289084.26</v>
      </c>
      <c r="W14" s="135">
        <f t="shared" si="7"/>
        <v>0.44285434132275087</v>
      </c>
    </row>
    <row r="15" spans="1:220">
      <c r="A15" s="15" t="s">
        <v>27</v>
      </c>
      <c r="B15" s="528">
        <v>10</v>
      </c>
      <c r="C15" s="528">
        <v>5</v>
      </c>
      <c r="D15" s="23">
        <f t="shared" si="12"/>
        <v>15</v>
      </c>
      <c r="E15" s="82">
        <f t="shared" si="8"/>
        <v>17</v>
      </c>
      <c r="F15" s="82">
        <f t="shared" si="9"/>
        <v>12</v>
      </c>
      <c r="G15" s="85"/>
      <c r="H15" s="85"/>
      <c r="I15" s="528">
        <v>111</v>
      </c>
      <c r="J15" s="528">
        <v>112</v>
      </c>
      <c r="K15" s="23">
        <f t="shared" si="10"/>
        <v>223</v>
      </c>
      <c r="L15" s="528">
        <v>55.1</v>
      </c>
      <c r="M15" s="82">
        <f t="shared" si="13"/>
        <v>166.1</v>
      </c>
      <c r="N15" s="528">
        <v>18</v>
      </c>
      <c r="O15" s="528">
        <v>174.1</v>
      </c>
      <c r="P15" s="133">
        <f t="shared" si="6"/>
        <v>0.95404939689833423</v>
      </c>
      <c r="Q15" s="528">
        <v>101</v>
      </c>
      <c r="R15" s="528">
        <v>62</v>
      </c>
      <c r="S15" s="84">
        <v>2224064.9799999995</v>
      </c>
      <c r="T15" s="24">
        <f t="shared" si="11"/>
        <v>2295554.44</v>
      </c>
      <c r="U15" s="84">
        <v>1695666.44</v>
      </c>
      <c r="V15" s="84">
        <v>599888</v>
      </c>
      <c r="W15" s="135">
        <f t="shared" si="7"/>
        <v>0.26132597404224489</v>
      </c>
    </row>
    <row r="16" spans="1:220">
      <c r="A16" s="15" t="s">
        <v>28</v>
      </c>
      <c r="B16" s="528">
        <v>9</v>
      </c>
      <c r="C16" s="528">
        <v>11</v>
      </c>
      <c r="D16" s="23">
        <f t="shared" si="12"/>
        <v>20</v>
      </c>
      <c r="E16" s="82">
        <f t="shared" si="8"/>
        <v>36</v>
      </c>
      <c r="F16" s="82">
        <f t="shared" si="9"/>
        <v>16</v>
      </c>
      <c r="G16" s="85"/>
      <c r="H16" s="85"/>
      <c r="I16" s="528">
        <v>106</v>
      </c>
      <c r="J16" s="528">
        <v>133</v>
      </c>
      <c r="K16" s="23">
        <f t="shared" si="10"/>
        <v>239</v>
      </c>
      <c r="L16" s="528">
        <v>67.41</v>
      </c>
      <c r="M16" s="82">
        <f t="shared" si="13"/>
        <v>173.41</v>
      </c>
      <c r="N16" s="528">
        <v>21</v>
      </c>
      <c r="O16" s="528">
        <v>325.74</v>
      </c>
      <c r="P16" s="133">
        <f t="shared" si="6"/>
        <v>0.53235709461533731</v>
      </c>
      <c r="Q16" s="528">
        <v>106</v>
      </c>
      <c r="R16" s="528">
        <v>48</v>
      </c>
      <c r="S16" s="84">
        <v>2530887.87</v>
      </c>
      <c r="T16" s="24">
        <f t="shared" si="11"/>
        <v>2561478</v>
      </c>
      <c r="U16" s="84">
        <v>1718428</v>
      </c>
      <c r="V16" s="84">
        <v>843050</v>
      </c>
      <c r="W16" s="135">
        <f t="shared" si="7"/>
        <v>0.32912638718739728</v>
      </c>
    </row>
    <row r="17" spans="1:24">
      <c r="A17" s="15" t="s">
        <v>29</v>
      </c>
      <c r="B17" s="528">
        <v>9</v>
      </c>
      <c r="C17" s="528">
        <v>10.5</v>
      </c>
      <c r="D17" s="23">
        <f t="shared" si="12"/>
        <v>19.5</v>
      </c>
      <c r="E17" s="82">
        <f t="shared" si="8"/>
        <v>33</v>
      </c>
      <c r="F17" s="82">
        <f t="shared" si="9"/>
        <v>15</v>
      </c>
      <c r="G17" s="85"/>
      <c r="H17" s="85"/>
      <c r="I17" s="528">
        <v>88</v>
      </c>
      <c r="J17" s="528">
        <v>130</v>
      </c>
      <c r="K17" s="23">
        <f t="shared" si="10"/>
        <v>218</v>
      </c>
      <c r="L17" s="528">
        <v>66</v>
      </c>
      <c r="M17" s="82">
        <f t="shared" si="13"/>
        <v>154</v>
      </c>
      <c r="N17" s="528">
        <v>18</v>
      </c>
      <c r="O17" s="528">
        <v>295</v>
      </c>
      <c r="P17" s="133">
        <f t="shared" si="6"/>
        <v>0.52203389830508473</v>
      </c>
      <c r="Q17" s="528">
        <v>90</v>
      </c>
      <c r="R17" s="528">
        <v>64</v>
      </c>
      <c r="S17" s="84">
        <v>2855457</v>
      </c>
      <c r="T17" s="24">
        <f t="shared" si="11"/>
        <v>2919077</v>
      </c>
      <c r="U17" s="84">
        <v>2034270</v>
      </c>
      <c r="V17" s="84">
        <v>884807</v>
      </c>
      <c r="W17" s="135">
        <f t="shared" si="7"/>
        <v>0.30311190831896523</v>
      </c>
    </row>
    <row r="18" spans="1:24">
      <c r="A18" s="15">
        <v>2007</v>
      </c>
      <c r="B18" s="528">
        <v>9</v>
      </c>
      <c r="C18" s="528">
        <v>9</v>
      </c>
      <c r="D18" s="23">
        <f t="shared" si="12"/>
        <v>18</v>
      </c>
      <c r="E18" s="82">
        <f t="shared" si="8"/>
        <v>30</v>
      </c>
      <c r="F18" s="82">
        <f t="shared" si="9"/>
        <v>15</v>
      </c>
      <c r="G18" s="85"/>
      <c r="H18" s="85"/>
      <c r="I18" s="528">
        <v>96</v>
      </c>
      <c r="J18" s="528">
        <v>108</v>
      </c>
      <c r="K18" s="23">
        <f t="shared" si="10"/>
        <v>204</v>
      </c>
      <c r="L18" s="528">
        <v>57.2</v>
      </c>
      <c r="M18" s="82">
        <f t="shared" si="13"/>
        <v>153.19999999999999</v>
      </c>
      <c r="N18" s="528">
        <v>14</v>
      </c>
      <c r="O18" s="528">
        <v>268</v>
      </c>
      <c r="P18" s="133">
        <f t="shared" si="6"/>
        <v>0.57164179104477608</v>
      </c>
      <c r="Q18" s="528">
        <v>98</v>
      </c>
      <c r="R18" s="528">
        <v>45</v>
      </c>
      <c r="S18" s="132">
        <v>2823679</v>
      </c>
      <c r="T18" s="24">
        <f t="shared" si="11"/>
        <v>2846990.38</v>
      </c>
      <c r="U18" s="132">
        <v>1985895.38</v>
      </c>
      <c r="V18" s="132">
        <v>861095</v>
      </c>
      <c r="W18" s="135">
        <f t="shared" si="7"/>
        <v>0.30245799425567432</v>
      </c>
      <c r="X18" s="59"/>
    </row>
    <row r="19" spans="1:24">
      <c r="A19" s="15">
        <v>2006</v>
      </c>
      <c r="B19" s="528">
        <v>13</v>
      </c>
      <c r="C19" s="528">
        <v>5.5</v>
      </c>
      <c r="D19" s="23">
        <f t="shared" si="12"/>
        <v>18.5</v>
      </c>
      <c r="E19" s="82">
        <f t="shared" si="8"/>
        <v>22</v>
      </c>
      <c r="F19" s="82">
        <f t="shared" si="9"/>
        <v>15</v>
      </c>
      <c r="G19" s="85"/>
      <c r="H19" s="85"/>
      <c r="I19" s="528">
        <v>98</v>
      </c>
      <c r="J19" s="528">
        <v>126</v>
      </c>
      <c r="K19" s="23">
        <f t="shared" si="10"/>
        <v>224</v>
      </c>
      <c r="L19" s="528">
        <v>63</v>
      </c>
      <c r="M19" s="82">
        <f t="shared" si="13"/>
        <v>161</v>
      </c>
      <c r="N19" s="528">
        <v>17</v>
      </c>
      <c r="O19" s="528">
        <v>283</v>
      </c>
      <c r="P19" s="133">
        <f t="shared" si="6"/>
        <v>0.56890459363957602</v>
      </c>
      <c r="Q19" s="528">
        <v>108</v>
      </c>
      <c r="R19" s="528">
        <v>60</v>
      </c>
      <c r="S19" s="132">
        <v>2445803</v>
      </c>
      <c r="T19" s="24">
        <f t="shared" si="11"/>
        <v>2499098</v>
      </c>
      <c r="U19" s="132">
        <v>1779239</v>
      </c>
      <c r="V19" s="132">
        <v>719859</v>
      </c>
      <c r="W19" s="135">
        <f t="shared" si="7"/>
        <v>0.28804752754793927</v>
      </c>
      <c r="X19" s="59"/>
    </row>
    <row r="20" spans="1:24">
      <c r="A20" s="15">
        <v>2005</v>
      </c>
      <c r="B20" s="528">
        <v>11</v>
      </c>
      <c r="C20" s="528">
        <v>9</v>
      </c>
      <c r="D20" s="23">
        <f t="shared" si="12"/>
        <v>20</v>
      </c>
      <c r="E20" s="82">
        <f t="shared" si="8"/>
        <v>29</v>
      </c>
      <c r="F20" s="82">
        <f t="shared" si="9"/>
        <v>16</v>
      </c>
      <c r="G20" s="85"/>
      <c r="H20" s="85"/>
      <c r="I20" s="528">
        <v>90</v>
      </c>
      <c r="J20" s="528">
        <v>126</v>
      </c>
      <c r="K20" s="23">
        <f t="shared" si="10"/>
        <v>216</v>
      </c>
      <c r="L20" s="528">
        <v>67</v>
      </c>
      <c r="M20" s="82">
        <f t="shared" si="13"/>
        <v>157</v>
      </c>
      <c r="N20" s="528">
        <v>21</v>
      </c>
      <c r="O20" s="528">
        <v>316.3</v>
      </c>
      <c r="P20" s="133">
        <f t="shared" si="6"/>
        <v>0.49636421119190638</v>
      </c>
      <c r="Q20" s="528">
        <v>0</v>
      </c>
      <c r="R20" s="528">
        <v>207</v>
      </c>
      <c r="S20" s="132">
        <v>3151362</v>
      </c>
      <c r="T20" s="24">
        <f t="shared" si="11"/>
        <v>3153309</v>
      </c>
      <c r="U20" s="132">
        <v>2217128</v>
      </c>
      <c r="V20" s="132">
        <v>936181</v>
      </c>
      <c r="W20" s="135">
        <f t="shared" si="7"/>
        <v>0.29688844321948782</v>
      </c>
      <c r="X20" s="59"/>
    </row>
    <row r="21" spans="1:24">
      <c r="A21" s="15">
        <v>2004</v>
      </c>
      <c r="B21" s="528">
        <v>10</v>
      </c>
      <c r="C21" s="528">
        <v>12</v>
      </c>
      <c r="D21" s="23">
        <f t="shared" si="12"/>
        <v>22</v>
      </c>
      <c r="E21" s="82">
        <f t="shared" si="8"/>
        <v>48</v>
      </c>
      <c r="F21" s="82">
        <f t="shared" si="9"/>
        <v>22</v>
      </c>
      <c r="G21" s="85"/>
      <c r="H21" s="85"/>
      <c r="I21" s="528">
        <v>236</v>
      </c>
      <c r="J21" s="528">
        <v>91</v>
      </c>
      <c r="K21" s="23">
        <f t="shared" si="10"/>
        <v>327</v>
      </c>
      <c r="L21" s="528">
        <v>34</v>
      </c>
      <c r="M21" s="82">
        <f t="shared" si="13"/>
        <v>270</v>
      </c>
      <c r="N21" s="528">
        <v>12</v>
      </c>
      <c r="O21" s="528">
        <v>484</v>
      </c>
      <c r="P21" s="133">
        <f t="shared" si="6"/>
        <v>0.55785123966942152</v>
      </c>
      <c r="Q21" s="528">
        <v>61</v>
      </c>
      <c r="R21" s="528">
        <v>157</v>
      </c>
      <c r="S21" s="132">
        <v>2568984</v>
      </c>
      <c r="T21" s="24">
        <f t="shared" si="11"/>
        <v>2611571</v>
      </c>
      <c r="U21" s="132">
        <v>1808085</v>
      </c>
      <c r="V21" s="132">
        <v>803486</v>
      </c>
      <c r="W21" s="135">
        <f t="shared" si="7"/>
        <v>0.30766385443857358</v>
      </c>
    </row>
    <row r="22" spans="1:24">
      <c r="A22" s="15" t="s">
        <v>35</v>
      </c>
      <c r="B22" s="528">
        <v>11</v>
      </c>
      <c r="C22" s="528">
        <v>7</v>
      </c>
      <c r="D22" s="23">
        <f t="shared" si="12"/>
        <v>18</v>
      </c>
      <c r="E22" s="82">
        <f t="shared" si="8"/>
        <v>33</v>
      </c>
      <c r="F22" s="82">
        <f t="shared" si="9"/>
        <v>20</v>
      </c>
      <c r="G22" s="85"/>
      <c r="H22" s="85"/>
      <c r="I22" s="528">
        <v>126</v>
      </c>
      <c r="J22" s="528">
        <v>91</v>
      </c>
      <c r="K22" s="23">
        <f t="shared" si="10"/>
        <v>217</v>
      </c>
      <c r="L22" s="528">
        <v>35</v>
      </c>
      <c r="M22" s="82">
        <f t="shared" si="13"/>
        <v>161</v>
      </c>
      <c r="N22" s="528">
        <v>15</v>
      </c>
      <c r="O22" s="528">
        <f>ROUND(365.6, 0)</f>
        <v>366</v>
      </c>
      <c r="P22" s="133">
        <f t="shared" si="6"/>
        <v>0.43989071038251365</v>
      </c>
      <c r="Q22" s="528">
        <v>112</v>
      </c>
      <c r="R22" s="528">
        <v>109</v>
      </c>
      <c r="S22" s="132">
        <v>2219107</v>
      </c>
      <c r="T22" s="24">
        <f t="shared" si="11"/>
        <v>2222589</v>
      </c>
      <c r="U22" s="132">
        <v>1508132</v>
      </c>
      <c r="V22" s="132">
        <v>714457</v>
      </c>
      <c r="W22" s="135">
        <f t="shared" si="7"/>
        <v>0.32145259424931916</v>
      </c>
    </row>
    <row r="23" spans="1:24">
      <c r="A23" s="15">
        <v>2002</v>
      </c>
      <c r="B23" s="528">
        <v>11</v>
      </c>
      <c r="C23" s="528">
        <v>7</v>
      </c>
      <c r="D23" s="23">
        <f t="shared" si="12"/>
        <v>18</v>
      </c>
      <c r="E23" s="82">
        <f t="shared" si="8"/>
        <v>36</v>
      </c>
      <c r="F23" s="82">
        <f t="shared" si="9"/>
        <v>22</v>
      </c>
      <c r="G23" s="85"/>
      <c r="H23" s="85"/>
      <c r="I23" s="528">
        <v>82</v>
      </c>
      <c r="J23" s="528">
        <v>69</v>
      </c>
      <c r="K23" s="23">
        <f t="shared" si="10"/>
        <v>151</v>
      </c>
      <c r="L23" s="528">
        <f>ROUND(25.58, 0)</f>
        <v>26</v>
      </c>
      <c r="M23" s="82">
        <f t="shared" si="13"/>
        <v>108</v>
      </c>
      <c r="N23" s="528">
        <v>5</v>
      </c>
      <c r="O23" s="528">
        <f>ROUND(391.64, 0)</f>
        <v>392</v>
      </c>
      <c r="P23" s="133">
        <f t="shared" si="6"/>
        <v>0.27551020408163263</v>
      </c>
      <c r="Q23" s="528">
        <v>65</v>
      </c>
      <c r="R23" s="528">
        <v>67</v>
      </c>
      <c r="S23" s="132">
        <v>2278152</v>
      </c>
      <c r="T23" s="24">
        <f t="shared" si="11"/>
        <v>2323109</v>
      </c>
      <c r="U23" s="132">
        <v>1561281</v>
      </c>
      <c r="V23" s="132">
        <v>761828</v>
      </c>
      <c r="W23" s="135">
        <f t="shared" si="7"/>
        <v>0.32793467719336455</v>
      </c>
    </row>
    <row r="24" spans="1:24" s="59" customFormat="1" ht="31.15" customHeight="1">
      <c r="A24" s="537" t="s">
        <v>36</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4" s="59" customFormat="1">
      <c r="A25" s="537" t="s">
        <v>37</v>
      </c>
      <c r="B25" s="538"/>
      <c r="C25" s="538"/>
      <c r="D25" s="538"/>
      <c r="E25" s="538"/>
      <c r="F25" s="538"/>
      <c r="G25" s="538"/>
      <c r="H25" s="538"/>
      <c r="I25" s="538"/>
      <c r="J25" s="538"/>
      <c r="K25" s="538"/>
      <c r="L25" s="538"/>
      <c r="M25" s="538"/>
      <c r="N25" s="538"/>
      <c r="O25" s="538"/>
      <c r="P25" s="538"/>
      <c r="Q25" s="538"/>
      <c r="R25" s="538"/>
      <c r="S25" s="538"/>
      <c r="T25" s="538"/>
      <c r="U25" s="538"/>
      <c r="V25" s="538"/>
      <c r="W25" s="538"/>
    </row>
    <row r="26" spans="1:24" s="60" customFormat="1">
      <c r="A26" s="539" t="s">
        <v>38</v>
      </c>
      <c r="B26" s="538"/>
      <c r="C26" s="538"/>
      <c r="D26" s="538"/>
      <c r="E26" s="538"/>
      <c r="F26" s="538"/>
      <c r="G26" s="538"/>
      <c r="H26" s="538"/>
      <c r="I26" s="538"/>
      <c r="J26" s="538"/>
      <c r="K26" s="538"/>
      <c r="L26" s="538"/>
      <c r="M26" s="538"/>
      <c r="N26" s="538"/>
      <c r="O26" s="538"/>
      <c r="P26" s="538"/>
      <c r="Q26" s="538"/>
      <c r="R26" s="538"/>
      <c r="S26" s="538"/>
      <c r="T26" s="538"/>
      <c r="U26" s="538"/>
      <c r="V26" s="538"/>
      <c r="W26" s="538"/>
    </row>
    <row r="27" spans="1:24" s="12" customFormat="1"/>
    <row r="28" spans="1:24" s="12" customFormat="1"/>
    <row r="29" spans="1:24" s="12" customFormat="1"/>
    <row r="30" spans="1:24" s="12" customFormat="1"/>
    <row r="31" spans="1:24" s="12" customFormat="1"/>
    <row r="32" spans="1:24" s="12" customFormat="1"/>
    <row r="33" s="12" customFormat="1"/>
    <row r="34" s="12" customFormat="1"/>
    <row r="35" s="12" customFormat="1"/>
    <row r="36" s="12" customFormat="1"/>
  </sheetData>
  <mergeCells count="3">
    <mergeCell ref="A24:W24"/>
    <mergeCell ref="A25:W25"/>
    <mergeCell ref="A26:W26"/>
  </mergeCells>
  <printOptions headings="1" gridLines="1"/>
  <pageMargins left="0.5" right="0.5" top="0.5" bottom="0.5" header="0" footer="0"/>
  <pageSetup paperSize="5" scale="65" orientation="landscape" horizontalDpi="1200" verticalDpi="1200" r:id="rId1"/>
  <legacyDrawing r:id="rId2"/>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HL34"/>
  <sheetViews>
    <sheetView workbookViewId="0">
      <selection activeCell="J25" sqref="J25"/>
    </sheetView>
  </sheetViews>
  <sheetFormatPr defaultColWidth="8.85546875" defaultRowHeight="15"/>
  <cols>
    <col min="1" max="1" width="11.57031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3" width="13.140625" bestFit="1" customWidth="1"/>
    <col min="14" max="14" width="11.42578125"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1.42578125" bestFit="1" customWidth="1"/>
    <col min="22" max="22" width="10.85546875" bestFit="1" customWidth="1"/>
    <col min="23" max="23" width="12.85546875" bestFit="1" customWidth="1"/>
  </cols>
  <sheetData>
    <row r="1" spans="1:220" s="7" customFormat="1" ht="18.75">
      <c r="A1" s="1" t="s">
        <v>135</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c r="A3" s="439">
        <v>2022</v>
      </c>
      <c r="B3" s="440">
        <v>56</v>
      </c>
      <c r="C3" s="440">
        <v>67</v>
      </c>
      <c r="D3" s="441">
        <f t="shared" ref="D3" si="0">SUM(B3:C3)</f>
        <v>123</v>
      </c>
      <c r="E3" s="442">
        <f t="shared" ref="E3" si="1">ROUND((O3/B3), 0)</f>
        <v>32</v>
      </c>
      <c r="F3" s="442">
        <f t="shared" ref="F3" si="2">ROUND((O3/D3), 0)</f>
        <v>15</v>
      </c>
      <c r="G3" s="440">
        <v>56</v>
      </c>
      <c r="H3" s="440">
        <v>36</v>
      </c>
      <c r="I3" s="440">
        <v>551</v>
      </c>
      <c r="J3" s="440">
        <v>47</v>
      </c>
      <c r="K3" s="441">
        <f t="shared" ref="K3" si="3">SUM(I3:J3)</f>
        <v>598</v>
      </c>
      <c r="L3" s="440">
        <v>16.920000000000002</v>
      </c>
      <c r="M3" s="442">
        <f t="shared" ref="M3" si="4">(I3+L3)</f>
        <v>567.91999999999996</v>
      </c>
      <c r="N3" s="440">
        <v>58</v>
      </c>
      <c r="O3" s="440">
        <v>1808</v>
      </c>
      <c r="P3" s="443">
        <f t="shared" ref="P3" si="5">M3/O3</f>
        <v>0.31411504424778758</v>
      </c>
      <c r="Q3" s="440">
        <v>195</v>
      </c>
      <c r="R3" s="440">
        <v>430</v>
      </c>
      <c r="S3" s="444">
        <v>60246661</v>
      </c>
      <c r="T3" s="445">
        <f t="shared" ref="T3" si="6">SUM(U3:V3)</f>
        <v>51485948</v>
      </c>
      <c r="U3" s="444">
        <v>51453976</v>
      </c>
      <c r="V3" s="444">
        <v>31972</v>
      </c>
      <c r="W3" s="443">
        <f t="shared" ref="W3" si="7">V3/T3</f>
        <v>6.2098497244335489E-4</v>
      </c>
      <c r="X3" s="446"/>
      <c r="Y3" s="446"/>
      <c r="Z3" s="446"/>
      <c r="AA3" s="446"/>
      <c r="AB3" s="446"/>
      <c r="AC3" s="446"/>
      <c r="AD3" s="446"/>
      <c r="AE3" s="446"/>
      <c r="AF3" s="446"/>
      <c r="AG3" s="446"/>
      <c r="AH3" s="446"/>
      <c r="AI3" s="446"/>
      <c r="AJ3" s="446"/>
      <c r="AK3" s="446"/>
      <c r="AL3" s="446"/>
      <c r="AM3" s="446"/>
      <c r="AN3" s="446"/>
      <c r="AO3" s="446"/>
      <c r="AP3" s="446"/>
      <c r="AQ3" s="446"/>
    </row>
    <row r="4" spans="1:220" s="80" customFormat="1">
      <c r="A4" s="105">
        <v>2021</v>
      </c>
      <c r="B4" s="66">
        <v>56</v>
      </c>
      <c r="C4" s="66">
        <v>14.77</v>
      </c>
      <c r="D4" s="65">
        <f t="shared" ref="D4" si="8">SUM(B4:C4)</f>
        <v>70.77</v>
      </c>
      <c r="E4" s="13">
        <f t="shared" ref="E4" si="9">ROUND((O4/B4), 0)</f>
        <v>23</v>
      </c>
      <c r="F4" s="13">
        <f t="shared" ref="F4" si="10">ROUND((O4/D4), 0)</f>
        <v>19</v>
      </c>
      <c r="G4" s="66">
        <v>56</v>
      </c>
      <c r="H4" s="66">
        <v>9.7799999999999994</v>
      </c>
      <c r="I4" s="66">
        <v>457</v>
      </c>
      <c r="J4" s="66">
        <v>44</v>
      </c>
      <c r="K4" s="65">
        <f t="shared" ref="K4" si="11">SUM(I4:J4)</f>
        <v>501</v>
      </c>
      <c r="L4" s="66">
        <v>15.84</v>
      </c>
      <c r="M4" s="13">
        <f t="shared" ref="M4" si="12">(I4+L4)</f>
        <v>472.84</v>
      </c>
      <c r="N4" s="66">
        <v>58</v>
      </c>
      <c r="O4" s="66">
        <v>1315.44</v>
      </c>
      <c r="P4" s="134">
        <f t="shared" ref="P4" si="13">M4/O4</f>
        <v>0.35945387094812381</v>
      </c>
      <c r="Q4" s="66">
        <v>232</v>
      </c>
      <c r="R4" s="66">
        <v>259</v>
      </c>
      <c r="S4" s="137">
        <v>42879317</v>
      </c>
      <c r="T4" s="68">
        <f t="shared" ref="T4" si="14">SUM(U4:V4)</f>
        <v>51453976</v>
      </c>
      <c r="U4" s="20">
        <f>42353313+9085098</f>
        <v>51438411</v>
      </c>
      <c r="V4" s="20">
        <f>15512+53</f>
        <v>15565</v>
      </c>
      <c r="W4" s="135">
        <f t="shared" ref="W4" si="15">V4/T4</f>
        <v>3.0250334784623833E-4</v>
      </c>
    </row>
    <row r="5" spans="1:220" s="80" customFormat="1">
      <c r="A5" s="105">
        <v>2020</v>
      </c>
      <c r="B5" s="66">
        <v>58</v>
      </c>
      <c r="C5" s="66">
        <v>7.79725</v>
      </c>
      <c r="D5" s="65">
        <f>SUM(B5:C5)</f>
        <v>65.797250000000005</v>
      </c>
      <c r="E5" s="13">
        <f>ROUND((O5/B5), 0)</f>
        <v>19</v>
      </c>
      <c r="F5" s="13">
        <f>ROUND((O5/D5), 0)</f>
        <v>17</v>
      </c>
      <c r="G5" s="66">
        <v>58</v>
      </c>
      <c r="H5" s="66">
        <v>7.79725</v>
      </c>
      <c r="I5" s="66">
        <v>385</v>
      </c>
      <c r="J5" s="66">
        <v>37</v>
      </c>
      <c r="K5" s="65">
        <f>SUM(I5:J5)</f>
        <v>422</v>
      </c>
      <c r="L5" s="66">
        <v>13.32</v>
      </c>
      <c r="M5" s="13">
        <f>(I5+L5)</f>
        <v>398.32</v>
      </c>
      <c r="N5" s="66">
        <v>50</v>
      </c>
      <c r="O5" s="66">
        <v>1126</v>
      </c>
      <c r="P5" s="134">
        <f>M5/O5</f>
        <v>0.35374777975133215</v>
      </c>
      <c r="Q5" s="66">
        <v>222</v>
      </c>
      <c r="R5" s="66">
        <v>209</v>
      </c>
      <c r="S5" s="137">
        <v>43047382</v>
      </c>
      <c r="T5" s="68">
        <f>SUM(U5:V5)</f>
        <v>44932810</v>
      </c>
      <c r="U5" s="20">
        <v>44840632</v>
      </c>
      <c r="V5" s="20">
        <v>92178</v>
      </c>
      <c r="W5" s="135">
        <f t="shared" ref="W5" si="16">V5/T5</f>
        <v>2.0514630622923426E-3</v>
      </c>
    </row>
    <row r="6" spans="1:220">
      <c r="A6" s="10">
        <v>2019</v>
      </c>
      <c r="B6" s="17">
        <v>51</v>
      </c>
      <c r="C6" s="17">
        <v>7.92</v>
      </c>
      <c r="D6" s="23">
        <f>SUM(B6:C6)</f>
        <v>58.92</v>
      </c>
      <c r="E6" s="82">
        <f>ROUND((O6/B6), 0)</f>
        <v>20</v>
      </c>
      <c r="F6" s="82">
        <f>ROUND((O6/D6), 0)</f>
        <v>17</v>
      </c>
      <c r="G6" s="17">
        <v>51</v>
      </c>
      <c r="H6" s="17">
        <v>7.92</v>
      </c>
      <c r="I6" s="17">
        <v>431</v>
      </c>
      <c r="J6" s="17">
        <v>47</v>
      </c>
      <c r="K6" s="23">
        <f>SUM(I6:J6)</f>
        <v>478</v>
      </c>
      <c r="L6" s="17">
        <v>16.920000000000002</v>
      </c>
      <c r="M6" s="82">
        <f>(I6+L6)</f>
        <v>447.92</v>
      </c>
      <c r="N6" s="17">
        <v>49</v>
      </c>
      <c r="O6" s="17">
        <v>1004</v>
      </c>
      <c r="P6" s="133">
        <f>M6/O6</f>
        <v>0.44613545816733069</v>
      </c>
      <c r="Q6" s="17">
        <v>204</v>
      </c>
      <c r="R6" s="17">
        <v>169</v>
      </c>
      <c r="S6" s="20">
        <v>35178939</v>
      </c>
      <c r="T6" s="24">
        <v>37326121.07</v>
      </c>
      <c r="U6" s="20">
        <v>37198825</v>
      </c>
      <c r="V6" s="20">
        <v>127296</v>
      </c>
      <c r="W6" s="135">
        <f t="shared" ref="W6" si="17">V6/T6</f>
        <v>3.4103731207771062E-3</v>
      </c>
    </row>
    <row r="7" spans="1:220" s="14" customFormat="1">
      <c r="A7" s="10">
        <v>2018</v>
      </c>
      <c r="B7" s="17">
        <v>48</v>
      </c>
      <c r="C7" s="17">
        <v>8.2390000000000008</v>
      </c>
      <c r="D7" s="23">
        <f>SUM(B7:C7)</f>
        <v>56.239000000000004</v>
      </c>
      <c r="E7" s="82">
        <f>ROUND((O7/B7), 0)</f>
        <v>19</v>
      </c>
      <c r="F7" s="82">
        <f>ROUND((O7/D7), 0)</f>
        <v>16</v>
      </c>
      <c r="G7" s="17">
        <v>48</v>
      </c>
      <c r="H7" s="17">
        <v>8.2390000000000008</v>
      </c>
      <c r="I7" s="17">
        <v>406</v>
      </c>
      <c r="J7" s="17">
        <v>36</v>
      </c>
      <c r="K7" s="23">
        <f t="shared" ref="K7" si="18">SUM(I7:J7)</f>
        <v>442</v>
      </c>
      <c r="L7" s="17">
        <v>12.96</v>
      </c>
      <c r="M7" s="82">
        <f>(I7+L7)</f>
        <v>418.96</v>
      </c>
      <c r="N7" s="17">
        <v>37</v>
      </c>
      <c r="O7" s="17">
        <v>895</v>
      </c>
      <c r="P7" s="133">
        <f>M7/O7</f>
        <v>0.46811173184357541</v>
      </c>
      <c r="Q7" s="17">
        <v>195</v>
      </c>
      <c r="R7" s="17">
        <v>221</v>
      </c>
      <c r="S7" s="20">
        <v>31307184</v>
      </c>
      <c r="T7" s="24">
        <f>SUM(U7:V7)</f>
        <v>33568777</v>
      </c>
      <c r="U7" s="20">
        <v>27319977</v>
      </c>
      <c r="V7" s="20">
        <v>6248800</v>
      </c>
      <c r="W7" s="135">
        <f>V7/T7</f>
        <v>0.18614917070109524</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45</v>
      </c>
      <c r="C8" s="17">
        <v>7.1829999999999998</v>
      </c>
      <c r="D8" s="27">
        <f>SUM(B8:C8)</f>
        <v>52.183</v>
      </c>
      <c r="E8" s="27">
        <f>ROUND((O8/B8), 0)</f>
        <v>18</v>
      </c>
      <c r="F8" s="27">
        <f>ROUND((O8/D8), 0)</f>
        <v>15</v>
      </c>
      <c r="G8" s="17">
        <v>45</v>
      </c>
      <c r="H8" s="17">
        <v>7.1829999999999998</v>
      </c>
      <c r="I8" s="17">
        <v>380</v>
      </c>
      <c r="J8" s="17">
        <v>36</v>
      </c>
      <c r="K8" s="27">
        <f>SUM(I8:J8)</f>
        <v>416</v>
      </c>
      <c r="L8" s="17">
        <v>19</v>
      </c>
      <c r="M8" s="29">
        <f>(I8+L8)</f>
        <v>399</v>
      </c>
      <c r="N8" s="255">
        <v>26</v>
      </c>
      <c r="O8" s="255">
        <v>792</v>
      </c>
      <c r="P8" s="133">
        <f t="shared" ref="P8:P23" si="19">M8/O8</f>
        <v>0.50378787878787878</v>
      </c>
      <c r="Q8" s="17">
        <v>148</v>
      </c>
      <c r="R8" s="17">
        <v>129</v>
      </c>
      <c r="S8" s="223">
        <v>27394790</v>
      </c>
      <c r="T8" s="28">
        <f>SUM(U8:V8)</f>
        <v>27769311</v>
      </c>
      <c r="U8" s="252">
        <v>22327718</v>
      </c>
      <c r="V8" s="20">
        <v>5441593</v>
      </c>
      <c r="W8" s="135">
        <f t="shared" ref="W8:W23" si="20">V8/T8</f>
        <v>0.19595707650074573</v>
      </c>
    </row>
    <row r="9" spans="1:220" s="72" customFormat="1">
      <c r="A9" s="105">
        <v>2016</v>
      </c>
      <c r="B9" s="54">
        <v>37</v>
      </c>
      <c r="C9" s="54">
        <v>8.2249999999999996</v>
      </c>
      <c r="D9" s="65">
        <f>SUM(B9:C9)</f>
        <v>45.225000000000001</v>
      </c>
      <c r="E9" s="13">
        <f>ROUND((O9/B9), 0)</f>
        <v>18</v>
      </c>
      <c r="F9" s="13">
        <f>ROUND((O9/D9), 0)</f>
        <v>15</v>
      </c>
      <c r="G9" s="54">
        <v>37</v>
      </c>
      <c r="H9" s="54">
        <v>8.2249999999999996</v>
      </c>
      <c r="I9" s="54">
        <v>322</v>
      </c>
      <c r="J9" s="54">
        <v>30</v>
      </c>
      <c r="K9" s="65">
        <f>SUM(I9:J9)</f>
        <v>352</v>
      </c>
      <c r="L9" s="54">
        <v>13</v>
      </c>
      <c r="M9" s="13">
        <f>(I9+L9)</f>
        <v>335</v>
      </c>
      <c r="N9" s="54">
        <v>26</v>
      </c>
      <c r="O9" s="54">
        <v>670</v>
      </c>
      <c r="P9" s="133">
        <f t="shared" si="19"/>
        <v>0.5</v>
      </c>
      <c r="Q9" s="54">
        <v>155</v>
      </c>
      <c r="R9" s="54">
        <v>87</v>
      </c>
      <c r="S9" s="55">
        <v>23539603</v>
      </c>
      <c r="T9" s="68">
        <f>SUM(U9:V9)</f>
        <v>23025172</v>
      </c>
      <c r="U9" s="55">
        <v>18945892</v>
      </c>
      <c r="V9" s="55">
        <v>4079280</v>
      </c>
      <c r="W9" s="135">
        <f t="shared" si="20"/>
        <v>0.17716610325429924</v>
      </c>
    </row>
    <row r="10" spans="1:220" s="77" customFormat="1">
      <c r="A10" s="10">
        <v>2015</v>
      </c>
      <c r="B10" s="54">
        <v>45</v>
      </c>
      <c r="C10" s="54">
        <v>1.63</v>
      </c>
      <c r="D10" s="19">
        <v>46.63</v>
      </c>
      <c r="E10" s="65">
        <v>12.55</v>
      </c>
      <c r="F10" s="65">
        <v>12.12</v>
      </c>
      <c r="G10" s="83"/>
      <c r="H10" s="83"/>
      <c r="I10" s="70">
        <v>289</v>
      </c>
      <c r="J10" s="70">
        <v>32</v>
      </c>
      <c r="K10" s="65">
        <v>321</v>
      </c>
      <c r="L10" s="54">
        <v>13</v>
      </c>
      <c r="M10" s="19">
        <v>302</v>
      </c>
      <c r="N10" s="54">
        <v>54</v>
      </c>
      <c r="O10" s="54">
        <v>565</v>
      </c>
      <c r="P10" s="133">
        <f t="shared" si="19"/>
        <v>0.53451327433628315</v>
      </c>
      <c r="Q10" s="70">
        <v>187</v>
      </c>
      <c r="R10" s="70">
        <v>52</v>
      </c>
      <c r="S10" s="78">
        <v>24822395</v>
      </c>
      <c r="T10" s="79">
        <v>25189891</v>
      </c>
      <c r="U10" s="78">
        <v>18638036</v>
      </c>
      <c r="V10" s="78">
        <v>6551855</v>
      </c>
      <c r="W10" s="135">
        <f t="shared" si="20"/>
        <v>0.26009858478546016</v>
      </c>
    </row>
    <row r="11" spans="1:220">
      <c r="A11" s="15">
        <v>2014</v>
      </c>
      <c r="B11" s="528">
        <v>32</v>
      </c>
      <c r="C11" s="528">
        <v>8.27</v>
      </c>
      <c r="D11" s="23">
        <f t="shared" ref="D11:D23" si="21">SUM(B11:C11)</f>
        <v>40.269999999999996</v>
      </c>
      <c r="E11" s="82">
        <f t="shared" ref="E11:E23" si="22">ROUND((O11/B11), 0)</f>
        <v>16</v>
      </c>
      <c r="F11" s="82">
        <f t="shared" ref="F11:F23" si="23">ROUND((O11/D11), 0)</f>
        <v>13</v>
      </c>
      <c r="G11" s="83"/>
      <c r="H11" s="83"/>
      <c r="I11" s="528">
        <v>326</v>
      </c>
      <c r="J11" s="528">
        <v>29</v>
      </c>
      <c r="K11" s="23">
        <f t="shared" ref="K11:K23" si="24">SUM(I11:J11)</f>
        <v>355</v>
      </c>
      <c r="L11" s="528">
        <v>14.92</v>
      </c>
      <c r="M11" s="82">
        <f t="shared" ref="M11:M23" si="25">(I11+L11)</f>
        <v>340.92</v>
      </c>
      <c r="N11" s="528">
        <v>63</v>
      </c>
      <c r="O11" s="528">
        <v>524</v>
      </c>
      <c r="P11" s="133">
        <f t="shared" si="19"/>
        <v>0.65061068702290081</v>
      </c>
      <c r="Q11" s="528">
        <v>185</v>
      </c>
      <c r="R11" s="528">
        <v>22</v>
      </c>
      <c r="S11" s="84">
        <v>23460092</v>
      </c>
      <c r="T11" s="24">
        <f t="shared" ref="T11:T23" si="26">SUM(U11:V11)</f>
        <v>26573767</v>
      </c>
      <c r="U11" s="84">
        <v>18576228</v>
      </c>
      <c r="V11" s="84">
        <v>7997539</v>
      </c>
      <c r="W11" s="135">
        <f t="shared" si="20"/>
        <v>0.30095616477709014</v>
      </c>
    </row>
    <row r="12" spans="1:220">
      <c r="A12" s="15">
        <v>2013</v>
      </c>
      <c r="B12" s="528">
        <v>32.6</v>
      </c>
      <c r="C12" s="528">
        <v>8.83</v>
      </c>
      <c r="D12" s="23">
        <f t="shared" si="21"/>
        <v>41.43</v>
      </c>
      <c r="E12" s="82">
        <f t="shared" si="22"/>
        <v>12</v>
      </c>
      <c r="F12" s="82">
        <f t="shared" si="23"/>
        <v>10</v>
      </c>
      <c r="G12" s="85"/>
      <c r="H12" s="85"/>
      <c r="I12" s="528">
        <v>367</v>
      </c>
      <c r="J12" s="528">
        <v>26</v>
      </c>
      <c r="K12" s="23">
        <f t="shared" si="24"/>
        <v>393</v>
      </c>
      <c r="L12" s="528">
        <v>0.93</v>
      </c>
      <c r="M12" s="82">
        <f t="shared" si="25"/>
        <v>367.93</v>
      </c>
      <c r="N12" s="528">
        <v>62</v>
      </c>
      <c r="O12" s="528">
        <v>401.14</v>
      </c>
      <c r="P12" s="133">
        <f t="shared" si="19"/>
        <v>0.91721094879593168</v>
      </c>
      <c r="Q12" s="528">
        <v>183</v>
      </c>
      <c r="R12" s="528">
        <v>0</v>
      </c>
      <c r="S12" s="84">
        <v>21291033</v>
      </c>
      <c r="T12" s="24">
        <f t="shared" si="26"/>
        <v>24555609</v>
      </c>
      <c r="U12" s="84">
        <v>17734640</v>
      </c>
      <c r="V12" s="84">
        <v>6820969</v>
      </c>
      <c r="W12" s="135">
        <f t="shared" si="20"/>
        <v>0.27777641352735338</v>
      </c>
    </row>
    <row r="13" spans="1:220">
      <c r="A13" s="15">
        <v>2012</v>
      </c>
      <c r="B13" s="528">
        <v>27</v>
      </c>
      <c r="C13" s="528">
        <v>2.1800000000000002</v>
      </c>
      <c r="D13" s="23">
        <f t="shared" si="21"/>
        <v>29.18</v>
      </c>
      <c r="E13" s="82">
        <f t="shared" si="22"/>
        <v>16</v>
      </c>
      <c r="F13" s="82">
        <f t="shared" si="23"/>
        <v>15</v>
      </c>
      <c r="G13" s="85"/>
      <c r="H13" s="85"/>
      <c r="I13" s="528">
        <v>357</v>
      </c>
      <c r="J13" s="528">
        <v>25</v>
      </c>
      <c r="K13" s="23">
        <f t="shared" si="24"/>
        <v>382</v>
      </c>
      <c r="L13" s="528">
        <v>0</v>
      </c>
      <c r="M13" s="82">
        <f t="shared" si="25"/>
        <v>357</v>
      </c>
      <c r="N13" s="528">
        <v>26</v>
      </c>
      <c r="O13" s="528">
        <v>427</v>
      </c>
      <c r="P13" s="133">
        <f t="shared" si="19"/>
        <v>0.83606557377049184</v>
      </c>
      <c r="Q13" s="528">
        <v>162</v>
      </c>
      <c r="R13" s="528">
        <v>7</v>
      </c>
      <c r="S13" s="84">
        <v>18382299</v>
      </c>
      <c r="T13" s="24">
        <f t="shared" si="26"/>
        <v>21807315</v>
      </c>
      <c r="U13" s="84">
        <v>16111363</v>
      </c>
      <c r="V13" s="84">
        <v>5695952</v>
      </c>
      <c r="W13" s="135">
        <f t="shared" si="20"/>
        <v>0.26119455788115137</v>
      </c>
    </row>
    <row r="14" spans="1:220">
      <c r="A14" s="15" t="s">
        <v>26</v>
      </c>
      <c r="B14" s="528">
        <v>29</v>
      </c>
      <c r="C14" s="528">
        <v>7.5</v>
      </c>
      <c r="D14" s="23">
        <f t="shared" si="21"/>
        <v>36.5</v>
      </c>
      <c r="E14" s="82">
        <f t="shared" si="22"/>
        <v>14</v>
      </c>
      <c r="F14" s="82">
        <f t="shared" si="23"/>
        <v>11</v>
      </c>
      <c r="G14" s="85"/>
      <c r="H14" s="85"/>
      <c r="I14" s="528">
        <v>349</v>
      </c>
      <c r="J14" s="528">
        <v>32</v>
      </c>
      <c r="K14" s="23">
        <f t="shared" si="24"/>
        <v>381</v>
      </c>
      <c r="L14" s="528">
        <v>18.38</v>
      </c>
      <c r="M14" s="82">
        <f t="shared" si="25"/>
        <v>367.38</v>
      </c>
      <c r="N14" s="528">
        <v>37</v>
      </c>
      <c r="O14" s="528">
        <v>416.38</v>
      </c>
      <c r="P14" s="133">
        <f t="shared" si="19"/>
        <v>0.88231903549642154</v>
      </c>
      <c r="Q14" s="528">
        <v>204</v>
      </c>
      <c r="R14" s="528">
        <v>9</v>
      </c>
      <c r="S14" s="84">
        <v>18350656</v>
      </c>
      <c r="T14" s="24">
        <f t="shared" si="26"/>
        <v>20927474</v>
      </c>
      <c r="U14" s="84">
        <v>15045384</v>
      </c>
      <c r="V14" s="84">
        <v>5882090</v>
      </c>
      <c r="W14" s="135">
        <f t="shared" si="20"/>
        <v>0.28107023332104009</v>
      </c>
    </row>
    <row r="15" spans="1:220">
      <c r="A15" s="15" t="s">
        <v>27</v>
      </c>
      <c r="B15" s="528">
        <v>28</v>
      </c>
      <c r="C15" s="528">
        <v>4.51</v>
      </c>
      <c r="D15" s="23">
        <f t="shared" si="21"/>
        <v>32.51</v>
      </c>
      <c r="E15" s="82">
        <f t="shared" si="22"/>
        <v>15</v>
      </c>
      <c r="F15" s="82">
        <f t="shared" si="23"/>
        <v>13</v>
      </c>
      <c r="G15" s="85"/>
      <c r="H15" s="85"/>
      <c r="I15" s="528">
        <v>343</v>
      </c>
      <c r="J15" s="528">
        <v>35</v>
      </c>
      <c r="K15" s="23">
        <f t="shared" si="24"/>
        <v>378</v>
      </c>
      <c r="L15" s="528">
        <v>19.7</v>
      </c>
      <c r="M15" s="82">
        <f t="shared" si="25"/>
        <v>362.7</v>
      </c>
      <c r="N15" s="528">
        <v>72</v>
      </c>
      <c r="O15" s="528">
        <v>411.7</v>
      </c>
      <c r="P15" s="133">
        <f t="shared" si="19"/>
        <v>0.88098129706096673</v>
      </c>
      <c r="Q15" s="528">
        <v>157</v>
      </c>
      <c r="R15" s="528">
        <v>6</v>
      </c>
      <c r="S15" s="84">
        <v>17055067.440000001</v>
      </c>
      <c r="T15" s="24">
        <f t="shared" si="26"/>
        <v>18493938</v>
      </c>
      <c r="U15" s="84">
        <v>13024604</v>
      </c>
      <c r="V15" s="84">
        <v>5469334</v>
      </c>
      <c r="W15" s="135">
        <f t="shared" si="20"/>
        <v>0.29573658135979475</v>
      </c>
    </row>
    <row r="16" spans="1:220">
      <c r="A16" s="15" t="s">
        <v>28</v>
      </c>
      <c r="B16" s="528">
        <v>29</v>
      </c>
      <c r="C16" s="528">
        <v>5.55</v>
      </c>
      <c r="D16" s="23">
        <f t="shared" si="21"/>
        <v>34.549999999999997</v>
      </c>
      <c r="E16" s="82">
        <f t="shared" si="22"/>
        <v>14</v>
      </c>
      <c r="F16" s="82">
        <f t="shared" si="23"/>
        <v>12</v>
      </c>
      <c r="G16" s="85"/>
      <c r="H16" s="85"/>
      <c r="I16" s="528">
        <v>327</v>
      </c>
      <c r="J16" s="528">
        <v>42</v>
      </c>
      <c r="K16" s="23">
        <f t="shared" si="24"/>
        <v>369</v>
      </c>
      <c r="L16" s="528">
        <v>26.26</v>
      </c>
      <c r="M16" s="82">
        <f t="shared" si="25"/>
        <v>353.26</v>
      </c>
      <c r="N16" s="528">
        <v>64</v>
      </c>
      <c r="O16" s="528">
        <v>403.26</v>
      </c>
      <c r="P16" s="133">
        <f t="shared" si="19"/>
        <v>0.87601051430838661</v>
      </c>
      <c r="Q16" s="528">
        <v>142</v>
      </c>
      <c r="R16" s="528">
        <v>4</v>
      </c>
      <c r="S16" s="84">
        <v>16627094</v>
      </c>
      <c r="T16" s="24">
        <f t="shared" si="26"/>
        <v>18118708</v>
      </c>
      <c r="U16" s="84">
        <v>12468875</v>
      </c>
      <c r="V16" s="84">
        <v>5649833</v>
      </c>
      <c r="W16" s="135">
        <f t="shared" si="20"/>
        <v>0.31182317193919123</v>
      </c>
    </row>
    <row r="17" spans="1:23">
      <c r="A17" s="15" t="s">
        <v>29</v>
      </c>
      <c r="B17" s="528">
        <v>25</v>
      </c>
      <c r="C17" s="528">
        <v>7.65</v>
      </c>
      <c r="D17" s="23">
        <f t="shared" si="21"/>
        <v>32.65</v>
      </c>
      <c r="E17" s="82">
        <f t="shared" si="22"/>
        <v>15</v>
      </c>
      <c r="F17" s="82">
        <f t="shared" si="23"/>
        <v>12</v>
      </c>
      <c r="G17" s="85"/>
      <c r="H17" s="85"/>
      <c r="I17" s="528">
        <v>306</v>
      </c>
      <c r="J17" s="528">
        <v>44</v>
      </c>
      <c r="K17" s="23">
        <f t="shared" si="24"/>
        <v>350</v>
      </c>
      <c r="L17" s="528">
        <v>27.5</v>
      </c>
      <c r="M17" s="82">
        <f t="shared" si="25"/>
        <v>333.5</v>
      </c>
      <c r="N17" s="528">
        <v>44</v>
      </c>
      <c r="O17" s="528">
        <v>382</v>
      </c>
      <c r="P17" s="133">
        <f t="shared" si="19"/>
        <v>0.87303664921465973</v>
      </c>
      <c r="Q17" s="528">
        <v>124</v>
      </c>
      <c r="R17" s="528">
        <v>6</v>
      </c>
      <c r="S17" s="84">
        <v>18607255</v>
      </c>
      <c r="T17" s="24">
        <f t="shared" si="26"/>
        <v>21254682</v>
      </c>
      <c r="U17" s="84">
        <v>13857148</v>
      </c>
      <c r="V17" s="84">
        <v>7397534</v>
      </c>
      <c r="W17" s="135">
        <f t="shared" si="20"/>
        <v>0.34804256304563863</v>
      </c>
    </row>
    <row r="18" spans="1:23">
      <c r="A18" s="15">
        <v>2007</v>
      </c>
      <c r="B18" s="528">
        <v>28</v>
      </c>
      <c r="C18" s="528">
        <v>6.9249999999999998</v>
      </c>
      <c r="D18" s="23">
        <f t="shared" si="21"/>
        <v>34.924999999999997</v>
      </c>
      <c r="E18" s="82">
        <f t="shared" si="22"/>
        <v>12</v>
      </c>
      <c r="F18" s="82">
        <f t="shared" si="23"/>
        <v>10</v>
      </c>
      <c r="G18" s="85"/>
      <c r="H18" s="85"/>
      <c r="I18" s="528">
        <v>282</v>
      </c>
      <c r="J18" s="528">
        <v>35</v>
      </c>
      <c r="K18" s="23">
        <f t="shared" si="24"/>
        <v>317</v>
      </c>
      <c r="L18" s="528">
        <v>21.88</v>
      </c>
      <c r="M18" s="82">
        <f t="shared" si="25"/>
        <v>303.88</v>
      </c>
      <c r="N18" s="528">
        <v>36</v>
      </c>
      <c r="O18" s="528">
        <v>349</v>
      </c>
      <c r="P18" s="133">
        <f t="shared" si="19"/>
        <v>0.87071633237822343</v>
      </c>
      <c r="Q18" s="528">
        <v>119</v>
      </c>
      <c r="R18" s="528">
        <v>2</v>
      </c>
      <c r="S18" s="132">
        <v>17394525</v>
      </c>
      <c r="T18" s="24">
        <f t="shared" si="26"/>
        <v>16582422</v>
      </c>
      <c r="U18" s="132">
        <v>10190184</v>
      </c>
      <c r="V18" s="132">
        <v>6392238</v>
      </c>
      <c r="W18" s="135">
        <f t="shared" si="20"/>
        <v>0.38548277205826748</v>
      </c>
    </row>
    <row r="19" spans="1:23">
      <c r="A19" s="15">
        <v>2006</v>
      </c>
      <c r="B19" s="528">
        <v>29</v>
      </c>
      <c r="C19" s="528">
        <v>4</v>
      </c>
      <c r="D19" s="23">
        <f t="shared" si="21"/>
        <v>33</v>
      </c>
      <c r="E19" s="82">
        <f t="shared" si="22"/>
        <v>11</v>
      </c>
      <c r="F19" s="82">
        <f t="shared" si="23"/>
        <v>9</v>
      </c>
      <c r="G19" s="85"/>
      <c r="H19" s="85"/>
      <c r="I19" s="528">
        <v>242</v>
      </c>
      <c r="J19" s="528">
        <v>36</v>
      </c>
      <c r="K19" s="23">
        <f t="shared" si="24"/>
        <v>278</v>
      </c>
      <c r="L19" s="528">
        <v>23</v>
      </c>
      <c r="M19" s="82">
        <f t="shared" si="25"/>
        <v>265</v>
      </c>
      <c r="N19" s="528">
        <v>39</v>
      </c>
      <c r="O19" s="528">
        <v>306</v>
      </c>
      <c r="P19" s="133">
        <f t="shared" si="19"/>
        <v>0.86601307189542487</v>
      </c>
      <c r="Q19" s="528">
        <v>134</v>
      </c>
      <c r="R19" s="528">
        <v>6</v>
      </c>
      <c r="S19" s="132">
        <v>16643933</v>
      </c>
      <c r="T19" s="24">
        <f t="shared" si="26"/>
        <v>15244250</v>
      </c>
      <c r="U19" s="132">
        <v>10071487</v>
      </c>
      <c r="V19" s="132">
        <v>5172763</v>
      </c>
      <c r="W19" s="135">
        <f t="shared" si="20"/>
        <v>0.33932551617823115</v>
      </c>
    </row>
    <row r="20" spans="1:23">
      <c r="A20" s="15">
        <v>2005</v>
      </c>
      <c r="B20" s="528">
        <v>28</v>
      </c>
      <c r="C20" s="528">
        <v>5</v>
      </c>
      <c r="D20" s="23">
        <f t="shared" si="21"/>
        <v>33</v>
      </c>
      <c r="E20" s="82">
        <f t="shared" si="22"/>
        <v>10</v>
      </c>
      <c r="F20" s="82">
        <f t="shared" si="23"/>
        <v>8</v>
      </c>
      <c r="G20" s="85"/>
      <c r="H20" s="85"/>
      <c r="I20" s="528">
        <v>208</v>
      </c>
      <c r="J20" s="528">
        <v>40</v>
      </c>
      <c r="K20" s="23">
        <f t="shared" si="24"/>
        <v>248</v>
      </c>
      <c r="L20" s="528">
        <v>25</v>
      </c>
      <c r="M20" s="82">
        <f t="shared" si="25"/>
        <v>233</v>
      </c>
      <c r="N20" s="528">
        <v>40</v>
      </c>
      <c r="O20" s="528">
        <v>269</v>
      </c>
      <c r="P20" s="133">
        <f t="shared" si="19"/>
        <v>0.86617100371747213</v>
      </c>
      <c r="Q20" s="528">
        <v>137</v>
      </c>
      <c r="R20" s="528">
        <v>5</v>
      </c>
      <c r="S20" s="132">
        <v>14782989</v>
      </c>
      <c r="T20" s="24">
        <f t="shared" si="26"/>
        <v>13778406</v>
      </c>
      <c r="U20" s="132">
        <v>9541762</v>
      </c>
      <c r="V20" s="132">
        <v>4236644</v>
      </c>
      <c r="W20" s="135">
        <f t="shared" si="20"/>
        <v>0.3074843345449394</v>
      </c>
    </row>
    <row r="21" spans="1:23">
      <c r="A21" s="15">
        <v>2004</v>
      </c>
      <c r="B21" s="528">
        <v>26</v>
      </c>
      <c r="C21" s="528">
        <v>6.24</v>
      </c>
      <c r="D21" s="23">
        <f t="shared" si="21"/>
        <v>32.24</v>
      </c>
      <c r="E21" s="82">
        <f t="shared" si="22"/>
        <v>11</v>
      </c>
      <c r="F21" s="82">
        <f t="shared" si="23"/>
        <v>9</v>
      </c>
      <c r="G21" s="85"/>
      <c r="H21" s="85"/>
      <c r="I21" s="528">
        <v>231</v>
      </c>
      <c r="J21" s="528">
        <v>34</v>
      </c>
      <c r="K21" s="23">
        <f t="shared" si="24"/>
        <v>265</v>
      </c>
      <c r="L21" s="528">
        <v>21.2</v>
      </c>
      <c r="M21" s="82">
        <f t="shared" si="25"/>
        <v>252.2</v>
      </c>
      <c r="N21" s="528">
        <v>45</v>
      </c>
      <c r="O21" s="147">
        <v>284.26</v>
      </c>
      <c r="P21" s="133">
        <f t="shared" si="19"/>
        <v>0.88721592907901214</v>
      </c>
      <c r="Q21" s="528">
        <v>105</v>
      </c>
      <c r="R21" s="528">
        <v>2</v>
      </c>
      <c r="S21" s="132">
        <v>16765268</v>
      </c>
      <c r="T21" s="24">
        <f t="shared" si="26"/>
        <v>18963882</v>
      </c>
      <c r="U21" s="132">
        <v>9293633</v>
      </c>
      <c r="V21" s="132">
        <v>9670249</v>
      </c>
      <c r="W21" s="135">
        <f t="shared" si="20"/>
        <v>0.50992982344015847</v>
      </c>
    </row>
    <row r="22" spans="1:23">
      <c r="A22" s="15">
        <v>2003</v>
      </c>
      <c r="B22" s="528">
        <v>26</v>
      </c>
      <c r="C22" s="528">
        <v>5</v>
      </c>
      <c r="D22" s="23">
        <f t="shared" si="21"/>
        <v>31</v>
      </c>
      <c r="E22" s="82">
        <f t="shared" si="22"/>
        <v>11</v>
      </c>
      <c r="F22" s="82">
        <f t="shared" si="23"/>
        <v>9</v>
      </c>
      <c r="G22" s="85"/>
      <c r="H22" s="85"/>
      <c r="I22" s="528">
        <v>238</v>
      </c>
      <c r="J22" s="528">
        <v>41</v>
      </c>
      <c r="K22" s="23">
        <f t="shared" si="24"/>
        <v>279</v>
      </c>
      <c r="L22" s="528">
        <v>26</v>
      </c>
      <c r="M22" s="82">
        <f t="shared" si="25"/>
        <v>264</v>
      </c>
      <c r="N22" s="528">
        <v>45</v>
      </c>
      <c r="O22" s="528">
        <v>292</v>
      </c>
      <c r="P22" s="133">
        <f t="shared" si="19"/>
        <v>0.90410958904109584</v>
      </c>
      <c r="Q22" s="528">
        <v>95</v>
      </c>
      <c r="R22" s="528">
        <v>1</v>
      </c>
      <c r="S22" s="132">
        <v>17547420</v>
      </c>
      <c r="T22" s="24">
        <f t="shared" si="26"/>
        <v>17135280</v>
      </c>
      <c r="U22" s="132">
        <v>8647148</v>
      </c>
      <c r="V22" s="132">
        <v>8488132</v>
      </c>
      <c r="W22" s="135">
        <f t="shared" si="20"/>
        <v>0.49535998244557428</v>
      </c>
    </row>
    <row r="23" spans="1:23">
      <c r="A23" s="15">
        <v>2002</v>
      </c>
      <c r="B23" s="528">
        <v>22</v>
      </c>
      <c r="C23" s="528">
        <v>5.73</v>
      </c>
      <c r="D23" s="23">
        <f t="shared" si="21"/>
        <v>27.73</v>
      </c>
      <c r="E23" s="82">
        <f t="shared" si="22"/>
        <v>12</v>
      </c>
      <c r="F23" s="82">
        <f t="shared" si="23"/>
        <v>9</v>
      </c>
      <c r="G23" s="85"/>
      <c r="H23" s="85"/>
      <c r="I23" s="528">
        <v>202</v>
      </c>
      <c r="J23" s="528">
        <v>43</v>
      </c>
      <c r="K23" s="23">
        <f t="shared" si="24"/>
        <v>245</v>
      </c>
      <c r="L23" s="528">
        <f>ROUND(26.88, 0)</f>
        <v>27</v>
      </c>
      <c r="M23" s="82">
        <f t="shared" si="25"/>
        <v>229</v>
      </c>
      <c r="N23" s="528">
        <v>40</v>
      </c>
      <c r="O23" s="528">
        <f>ROUND(261.88, 0)</f>
        <v>262</v>
      </c>
      <c r="P23" s="133">
        <f t="shared" si="19"/>
        <v>0.87404580152671751</v>
      </c>
      <c r="Q23" s="528">
        <v>85</v>
      </c>
      <c r="R23" s="528">
        <v>1</v>
      </c>
      <c r="S23" s="132">
        <v>15623113</v>
      </c>
      <c r="T23" s="24">
        <f t="shared" si="26"/>
        <v>16394706</v>
      </c>
      <c r="U23" s="132">
        <v>8530724</v>
      </c>
      <c r="V23" s="132">
        <v>7863982</v>
      </c>
      <c r="W23" s="135">
        <f t="shared" si="20"/>
        <v>0.47966593606497121</v>
      </c>
    </row>
    <row r="24" spans="1:23" s="12" customFormat="1"/>
    <row r="25" spans="1:23" s="12" customFormat="1"/>
    <row r="26" spans="1:23" s="12" customFormat="1"/>
    <row r="27" spans="1:23" s="12" customFormat="1"/>
    <row r="28" spans="1:23" s="12" customFormat="1"/>
    <row r="29" spans="1:23" s="12" customFormat="1"/>
    <row r="30" spans="1:23" s="12" customFormat="1"/>
    <row r="31" spans="1:23" s="12" customFormat="1"/>
    <row r="32" spans="1:23" s="12" customFormat="1"/>
    <row r="33" s="12" customFormat="1"/>
    <row r="34" s="12" customFormat="1"/>
  </sheetData>
  <protectedRanges>
    <protectedRange algorithmName="SHA-512" hashValue="msw+GJQM09R7M6nnPWHlwsVkqM22TsNpi1jhL2k8nCxr6lTtGwIImwrl60ElPyRQIsAVhQcxVxTxNxd28ugA+A==" saltValue="3uvgoCpJ7KmXsFgyxRmgag==" spinCount="100000" sqref="D6:F6 K6 M6 P6 T6 W6" name="Protecting Formulas"/>
    <protectedRange algorithmName="SHA-512" hashValue="msw+GJQM09R7M6nnPWHlwsVkqM22TsNpi1jhL2k8nCxr6lTtGwIImwrl60ElPyRQIsAVhQcxVxTxNxd28ugA+A==" saltValue="3uvgoCpJ7KmXsFgyxRmgag==" spinCount="100000" sqref="D5:F5 K5 M5 P5 W5" name="Protecting Formulas_2"/>
  </protectedRanges>
  <printOptions headings="1" gridLines="1"/>
  <pageMargins left="0.5" right="0.5" top="0.5" bottom="0.5" header="0" footer="0"/>
  <pageSetup paperSize="5" scale="66" orientation="landscape"/>
  <legacyDrawing r:id="rId1"/>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HM34"/>
  <sheetViews>
    <sheetView topLeftCell="A2" workbookViewId="0">
      <selection activeCell="B32" sqref="B32"/>
    </sheetView>
  </sheetViews>
  <sheetFormatPr defaultColWidth="8.7109375" defaultRowHeight="15"/>
  <cols>
    <col min="1" max="1" width="10.710937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7109375" bestFit="1" customWidth="1"/>
    <col min="10" max="11" width="11.71093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7109375" bestFit="1" customWidth="1"/>
    <col min="20" max="20" width="12.7109375" bestFit="1" customWidth="1"/>
    <col min="21" max="21" width="10.42578125" bestFit="1" customWidth="1"/>
    <col min="22" max="22" width="10.7109375" bestFit="1" customWidth="1"/>
    <col min="23" max="23" width="12.7109375" bestFit="1" customWidth="1"/>
  </cols>
  <sheetData>
    <row r="1" spans="1:220" s="4" customFormat="1" hidden="1">
      <c r="A1" s="556" t="s">
        <v>136</v>
      </c>
      <c r="B1" s="556"/>
      <c r="C1" s="556"/>
    </row>
    <row r="2" spans="1:220" s="7" customFormat="1" ht="18.75">
      <c r="A2" s="1" t="s">
        <v>137</v>
      </c>
      <c r="B2" s="2"/>
      <c r="C2" s="1"/>
      <c r="D2" s="1"/>
      <c r="E2" s="1"/>
      <c r="F2" s="1"/>
      <c r="G2" s="1"/>
      <c r="H2" s="1"/>
      <c r="I2" s="1"/>
      <c r="J2" s="1"/>
      <c r="K2" s="1"/>
      <c r="L2" s="1"/>
      <c r="M2" s="1"/>
      <c r="N2" s="1"/>
      <c r="O2" s="1"/>
      <c r="P2" s="1"/>
      <c r="Q2" s="1"/>
      <c r="R2" s="1"/>
      <c r="S2" s="1"/>
      <c r="T2" s="1"/>
      <c r="U2" s="1"/>
      <c r="V2" s="1"/>
      <c r="W2" s="1"/>
    </row>
    <row r="3" spans="1:220" s="6" customFormat="1" ht="60">
      <c r="A3" s="5" t="s">
        <v>4</v>
      </c>
      <c r="B3" s="5" t="s">
        <v>5</v>
      </c>
      <c r="C3" s="5" t="s">
        <v>6</v>
      </c>
      <c r="D3" s="5" t="s">
        <v>7</v>
      </c>
      <c r="E3" s="5" t="s">
        <v>8</v>
      </c>
      <c r="F3" s="5" t="s">
        <v>9</v>
      </c>
      <c r="G3" s="5" t="s">
        <v>10</v>
      </c>
      <c r="H3" s="5" t="s">
        <v>11</v>
      </c>
      <c r="I3" s="5" t="s">
        <v>12</v>
      </c>
      <c r="J3" s="5" t="s">
        <v>13</v>
      </c>
      <c r="K3" s="5" t="s">
        <v>1</v>
      </c>
      <c r="L3" s="5" t="s">
        <v>14</v>
      </c>
      <c r="M3" s="5" t="s">
        <v>15</v>
      </c>
      <c r="N3" s="5" t="s">
        <v>16</v>
      </c>
      <c r="O3" s="5" t="s">
        <v>17</v>
      </c>
      <c r="P3" s="5" t="s">
        <v>18</v>
      </c>
      <c r="Q3" s="5" t="s">
        <v>2</v>
      </c>
      <c r="R3" s="5" t="s">
        <v>19</v>
      </c>
      <c r="S3" s="5" t="s">
        <v>20</v>
      </c>
      <c r="T3" s="5" t="s">
        <v>21</v>
      </c>
      <c r="U3" s="5" t="s">
        <v>22</v>
      </c>
      <c r="V3" s="5" t="s">
        <v>23</v>
      </c>
      <c r="W3" s="5" t="s">
        <v>24</v>
      </c>
    </row>
    <row r="4" spans="1:220" s="338" customFormat="1">
      <c r="A4" s="435">
        <v>2022</v>
      </c>
      <c r="B4" s="66">
        <v>15</v>
      </c>
      <c r="C4" s="66">
        <v>20</v>
      </c>
      <c r="D4" s="430">
        <v>35</v>
      </c>
      <c r="E4" s="511">
        <v>15</v>
      </c>
      <c r="F4" s="511">
        <v>6</v>
      </c>
      <c r="G4" s="66">
        <v>8</v>
      </c>
      <c r="H4" s="66">
        <v>7.5</v>
      </c>
      <c r="I4" s="66">
        <v>75</v>
      </c>
      <c r="J4" s="66">
        <v>250</v>
      </c>
      <c r="K4" s="430">
        <v>325</v>
      </c>
      <c r="L4" s="66">
        <v>125</v>
      </c>
      <c r="M4" s="511">
        <v>200</v>
      </c>
      <c r="N4" s="66">
        <v>47</v>
      </c>
      <c r="O4" s="66">
        <v>226</v>
      </c>
      <c r="P4" s="512">
        <v>0.88039999999999996</v>
      </c>
      <c r="Q4" s="66">
        <v>123</v>
      </c>
      <c r="R4" s="66">
        <v>38</v>
      </c>
      <c r="S4" s="513">
        <v>1508740</v>
      </c>
      <c r="T4" s="514">
        <v>1853510</v>
      </c>
      <c r="U4" s="513">
        <v>1478566</v>
      </c>
      <c r="V4" s="326">
        <v>374944</v>
      </c>
      <c r="W4" s="433">
        <v>0.2</v>
      </c>
    </row>
    <row r="5" spans="1:220" s="14" customFormat="1">
      <c r="A5" s="10">
        <v>2021</v>
      </c>
      <c r="B5" s="17">
        <v>13</v>
      </c>
      <c r="C5" s="17">
        <v>20</v>
      </c>
      <c r="D5" s="372">
        <v>26.2</v>
      </c>
      <c r="E5" s="373">
        <v>31</v>
      </c>
      <c r="F5" s="374">
        <v>15.77</v>
      </c>
      <c r="G5" s="17">
        <v>7</v>
      </c>
      <c r="H5" s="17">
        <v>8</v>
      </c>
      <c r="I5" s="17">
        <v>118</v>
      </c>
      <c r="J5" s="17">
        <v>245</v>
      </c>
      <c r="K5" s="309">
        <v>363</v>
      </c>
      <c r="L5" s="17">
        <v>187</v>
      </c>
      <c r="M5" s="310">
        <v>305</v>
      </c>
      <c r="N5" s="17">
        <v>42</v>
      </c>
      <c r="O5" s="17">
        <v>410</v>
      </c>
      <c r="P5" s="311">
        <v>74.400000000000006</v>
      </c>
      <c r="Q5" s="17">
        <v>80</v>
      </c>
      <c r="R5" s="17">
        <v>14</v>
      </c>
      <c r="S5" s="20">
        <v>2134922</v>
      </c>
      <c r="T5" s="312">
        <v>1748175.46</v>
      </c>
      <c r="U5" s="20">
        <v>1428915.24</v>
      </c>
      <c r="V5" s="20">
        <v>319260.21999999997</v>
      </c>
      <c r="W5" s="135">
        <v>0.18260000000000001</v>
      </c>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row>
    <row r="6" spans="1:220" s="14" customFormat="1">
      <c r="A6" s="10">
        <v>2020</v>
      </c>
      <c r="B6" s="17">
        <v>16</v>
      </c>
      <c r="C6" s="17">
        <v>22</v>
      </c>
      <c r="D6" s="372">
        <v>28</v>
      </c>
      <c r="E6" s="373">
        <f>ROUND((O6/B6), 0)</f>
        <v>20</v>
      </c>
      <c r="F6" s="374">
        <v>10.5</v>
      </c>
      <c r="G6" s="17">
        <v>8</v>
      </c>
      <c r="H6" s="17">
        <v>8.5</v>
      </c>
      <c r="I6" s="17">
        <v>90</v>
      </c>
      <c r="J6" s="17">
        <v>261</v>
      </c>
      <c r="K6" s="309">
        <f>I6+J6</f>
        <v>351</v>
      </c>
      <c r="L6" s="17">
        <v>141</v>
      </c>
      <c r="M6" s="310">
        <f>(I6+L6)</f>
        <v>231</v>
      </c>
      <c r="N6" s="17">
        <v>46</v>
      </c>
      <c r="O6" s="17">
        <v>323</v>
      </c>
      <c r="P6" s="311">
        <f t="shared" ref="P6" si="0">M6/O6</f>
        <v>0.71517027863777094</v>
      </c>
      <c r="Q6" s="17">
        <v>74</v>
      </c>
      <c r="R6" s="17">
        <v>18</v>
      </c>
      <c r="S6" s="20">
        <v>3143650</v>
      </c>
      <c r="T6" s="312">
        <v>2282915</v>
      </c>
      <c r="U6" s="20">
        <v>2275915</v>
      </c>
      <c r="V6" s="20">
        <v>6540</v>
      </c>
      <c r="W6" s="135">
        <f t="shared" ref="W6" si="1">V6/T6</f>
        <v>2.8647584338444489E-3</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2019</v>
      </c>
      <c r="B7" s="17">
        <v>15</v>
      </c>
      <c r="C7" s="17">
        <v>17</v>
      </c>
      <c r="D7" s="309">
        <v>32</v>
      </c>
      <c r="E7" s="310">
        <v>11</v>
      </c>
      <c r="F7" s="310">
        <v>5</v>
      </c>
      <c r="G7" s="17">
        <v>8</v>
      </c>
      <c r="H7" s="17">
        <v>2.75</v>
      </c>
      <c r="I7" s="17">
        <v>67</v>
      </c>
      <c r="J7" s="17">
        <v>215</v>
      </c>
      <c r="K7" s="309">
        <v>282</v>
      </c>
      <c r="L7" s="17">
        <v>118</v>
      </c>
      <c r="M7" s="310">
        <v>187</v>
      </c>
      <c r="N7" s="17">
        <v>38</v>
      </c>
      <c r="O7" s="17">
        <v>265</v>
      </c>
      <c r="P7" s="311">
        <v>0.7</v>
      </c>
      <c r="Q7" s="17"/>
      <c r="R7" s="17"/>
      <c r="S7" s="20">
        <v>1497922</v>
      </c>
      <c r="T7" s="312">
        <v>1658589</v>
      </c>
      <c r="U7" s="20">
        <v>1022404</v>
      </c>
      <c r="V7" s="20">
        <v>636185</v>
      </c>
      <c r="W7" s="135">
        <f>V7/T7</f>
        <v>0.38357001041246508</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14" customFormat="1">
      <c r="A8" s="10">
        <v>2018</v>
      </c>
      <c r="B8" s="17">
        <v>15</v>
      </c>
      <c r="C8" s="17">
        <v>17</v>
      </c>
      <c r="D8" s="23">
        <f>SUM(B8:C8)</f>
        <v>32</v>
      </c>
      <c r="E8" s="82">
        <f>ROUND((O8/B8), 0)</f>
        <v>11</v>
      </c>
      <c r="F8" s="82">
        <f>ROUND((O8/D8), 0)</f>
        <v>5</v>
      </c>
      <c r="G8" s="17">
        <v>8</v>
      </c>
      <c r="H8" s="17">
        <v>2.75</v>
      </c>
      <c r="I8" s="17">
        <v>57</v>
      </c>
      <c r="J8" s="17">
        <v>143</v>
      </c>
      <c r="K8" s="23">
        <f t="shared" ref="K8" si="2">SUM(I8:J8)</f>
        <v>200</v>
      </c>
      <c r="L8" s="17">
        <v>80</v>
      </c>
      <c r="M8" s="82">
        <f>(I8+L8)</f>
        <v>137</v>
      </c>
      <c r="N8" s="17">
        <v>26</v>
      </c>
      <c r="O8" s="17">
        <v>165</v>
      </c>
      <c r="P8" s="133">
        <f>M8/O8</f>
        <v>0.83030303030303032</v>
      </c>
      <c r="Q8" s="17">
        <v>44</v>
      </c>
      <c r="R8" s="17">
        <v>58</v>
      </c>
      <c r="S8" s="20">
        <v>1523666.9378000002</v>
      </c>
      <c r="T8" s="24">
        <f>SUM(U8:V8)</f>
        <v>1797056</v>
      </c>
      <c r="U8" s="20">
        <v>1207871</v>
      </c>
      <c r="V8" s="20">
        <v>589185</v>
      </c>
      <c r="W8" s="135">
        <f>V8/T8</f>
        <v>0.32786123526478861</v>
      </c>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row>
    <row r="9" spans="1:220" s="9" customFormat="1">
      <c r="A9" s="10">
        <v>2017</v>
      </c>
      <c r="B9" s="17">
        <v>16</v>
      </c>
      <c r="C9" s="17">
        <v>6</v>
      </c>
      <c r="D9" s="27">
        <f>SUM(B9:C9)</f>
        <v>22</v>
      </c>
      <c r="E9" s="27">
        <f>ROUND((O9/B9), 0)</f>
        <v>15</v>
      </c>
      <c r="F9" s="27">
        <f>ROUND((O9/D9), 0)</f>
        <v>11</v>
      </c>
      <c r="G9" s="17">
        <v>9</v>
      </c>
      <c r="H9" s="17">
        <v>0.25</v>
      </c>
      <c r="I9" s="17">
        <v>66</v>
      </c>
      <c r="J9" s="17">
        <v>99</v>
      </c>
      <c r="K9" s="27">
        <f>SUM(I9:J9)</f>
        <v>165</v>
      </c>
      <c r="L9" s="17">
        <v>55</v>
      </c>
      <c r="M9" s="29">
        <f>(I9+L9)</f>
        <v>121</v>
      </c>
      <c r="N9" s="255">
        <v>14</v>
      </c>
      <c r="O9" s="255">
        <v>235</v>
      </c>
      <c r="P9" s="133">
        <f t="shared" ref="P9:P24" si="3">M9/O9</f>
        <v>0.51489361702127656</v>
      </c>
      <c r="Q9" s="17">
        <v>62</v>
      </c>
      <c r="R9" s="17">
        <v>72</v>
      </c>
      <c r="S9" s="223">
        <v>1804406.0463</v>
      </c>
      <c r="T9" s="28">
        <f>SUM(U9:V9)</f>
        <v>1928043</v>
      </c>
      <c r="U9" s="252">
        <v>1433053</v>
      </c>
      <c r="V9" s="20">
        <v>494990</v>
      </c>
      <c r="W9" s="135">
        <f t="shared" ref="W9:W24" si="4">V9/T9</f>
        <v>0.256731826001806</v>
      </c>
    </row>
    <row r="10" spans="1:220" s="9" customFormat="1">
      <c r="A10" s="10">
        <v>2016</v>
      </c>
      <c r="B10" s="54">
        <v>14</v>
      </c>
      <c r="C10" s="54">
        <v>10</v>
      </c>
      <c r="D10" s="65">
        <f>SUM(B10:C10)</f>
        <v>24</v>
      </c>
      <c r="E10" s="13">
        <f>ROUND((O10/B10), 0)</f>
        <v>8</v>
      </c>
      <c r="F10" s="13">
        <f>ROUND((O10/D10), 0)</f>
        <v>5</v>
      </c>
      <c r="G10" s="66">
        <v>7</v>
      </c>
      <c r="H10" s="66">
        <v>4</v>
      </c>
      <c r="I10" s="54">
        <v>45</v>
      </c>
      <c r="J10" s="54">
        <v>99</v>
      </c>
      <c r="K10" s="65">
        <f>I10+J10</f>
        <v>144</v>
      </c>
      <c r="L10" s="54">
        <v>53</v>
      </c>
      <c r="M10" s="13">
        <f>I10+L10</f>
        <v>98</v>
      </c>
      <c r="N10" s="54">
        <v>12</v>
      </c>
      <c r="O10" s="54">
        <v>111</v>
      </c>
      <c r="P10" s="133">
        <f t="shared" si="3"/>
        <v>0.88288288288288286</v>
      </c>
      <c r="Q10" s="54">
        <v>44</v>
      </c>
      <c r="R10" s="54">
        <v>58</v>
      </c>
      <c r="S10" s="58">
        <v>2286801</v>
      </c>
      <c r="T10" s="68">
        <f>SUM(U10:V10)</f>
        <v>2286801</v>
      </c>
      <c r="U10" s="58">
        <v>1485600</v>
      </c>
      <c r="V10" s="58">
        <v>801201</v>
      </c>
      <c r="W10" s="135">
        <f t="shared" si="4"/>
        <v>0.35035886375771219</v>
      </c>
    </row>
    <row r="11" spans="1:220" s="16" customFormat="1">
      <c r="A11" s="15">
        <v>2015</v>
      </c>
      <c r="B11" s="70">
        <v>6</v>
      </c>
      <c r="C11" s="70">
        <v>6.5</v>
      </c>
      <c r="D11" s="65">
        <v>12.5</v>
      </c>
      <c r="E11" s="65">
        <v>21.8</v>
      </c>
      <c r="F11" s="65">
        <v>10.5</v>
      </c>
      <c r="G11" s="83"/>
      <c r="H11" s="83"/>
      <c r="I11" s="70">
        <v>62</v>
      </c>
      <c r="J11" s="70">
        <v>75</v>
      </c>
      <c r="K11" s="65">
        <v>137</v>
      </c>
      <c r="L11" s="70">
        <v>41</v>
      </c>
      <c r="M11" s="65">
        <v>103</v>
      </c>
      <c r="N11" s="70">
        <v>13</v>
      </c>
      <c r="O11" s="70">
        <v>131</v>
      </c>
      <c r="P11" s="133">
        <f t="shared" si="3"/>
        <v>0.7862595419847328</v>
      </c>
      <c r="Q11" s="70">
        <v>68</v>
      </c>
      <c r="R11" s="70">
        <v>8</v>
      </c>
      <c r="S11" s="78">
        <v>2318607</v>
      </c>
      <c r="T11" s="79">
        <v>1919135</v>
      </c>
      <c r="U11" s="78">
        <v>1485600</v>
      </c>
      <c r="V11" s="78">
        <v>433535</v>
      </c>
      <c r="W11" s="135">
        <f t="shared" si="4"/>
        <v>0.22590125238714318</v>
      </c>
    </row>
    <row r="12" spans="1:220" s="16" customFormat="1">
      <c r="A12" s="15">
        <v>2014</v>
      </c>
      <c r="B12" s="70">
        <v>8</v>
      </c>
      <c r="C12" s="70">
        <v>4</v>
      </c>
      <c r="D12" s="65">
        <f t="shared" ref="D12:D24" si="5">SUM(B12:C12)</f>
        <v>12</v>
      </c>
      <c r="E12" s="13">
        <f t="shared" ref="E12:E24" si="6">ROUND((O12/B12), 0)</f>
        <v>16</v>
      </c>
      <c r="F12" s="13">
        <f t="shared" ref="F12:F24" si="7">ROUND((O12/D12), 0)</f>
        <v>10</v>
      </c>
      <c r="G12" s="83"/>
      <c r="H12" s="83"/>
      <c r="I12" s="70">
        <v>45</v>
      </c>
      <c r="J12" s="70">
        <v>113</v>
      </c>
      <c r="K12" s="65">
        <f>I12+J12</f>
        <v>158</v>
      </c>
      <c r="L12" s="70">
        <v>60.77</v>
      </c>
      <c r="M12" s="13">
        <f>I12+L12</f>
        <v>105.77000000000001</v>
      </c>
      <c r="N12" s="70">
        <v>8</v>
      </c>
      <c r="O12" s="70">
        <v>125</v>
      </c>
      <c r="P12" s="133">
        <f t="shared" si="3"/>
        <v>0.84616000000000013</v>
      </c>
      <c r="Q12" s="70">
        <v>63</v>
      </c>
      <c r="R12" s="70">
        <v>4</v>
      </c>
      <c r="S12" s="71">
        <v>1930003</v>
      </c>
      <c r="T12" s="68">
        <f t="shared" ref="T12:T24" si="8">SUM(U12:V12)</f>
        <v>1846268</v>
      </c>
      <c r="U12" s="71">
        <v>1474642</v>
      </c>
      <c r="V12" s="71">
        <v>371626</v>
      </c>
      <c r="W12" s="135">
        <f t="shared" si="4"/>
        <v>0.2012849705459879</v>
      </c>
    </row>
    <row r="13" spans="1:220">
      <c r="A13" s="15">
        <v>2013</v>
      </c>
      <c r="B13" s="528">
        <v>8</v>
      </c>
      <c r="C13" s="528">
        <v>4</v>
      </c>
      <c r="D13" s="23">
        <f t="shared" si="5"/>
        <v>12</v>
      </c>
      <c r="E13" s="82">
        <f t="shared" si="6"/>
        <v>18</v>
      </c>
      <c r="F13" s="82">
        <f t="shared" si="7"/>
        <v>12</v>
      </c>
      <c r="G13" s="85"/>
      <c r="H13" s="85"/>
      <c r="I13" s="528">
        <v>40</v>
      </c>
      <c r="J13" s="528">
        <v>141</v>
      </c>
      <c r="K13" s="23">
        <f>I13+J13</f>
        <v>181</v>
      </c>
      <c r="L13" s="528">
        <v>74</v>
      </c>
      <c r="M13" s="82">
        <f>I13+L13</f>
        <v>114</v>
      </c>
      <c r="N13" s="528">
        <v>7</v>
      </c>
      <c r="O13" s="528">
        <v>140</v>
      </c>
      <c r="P13" s="133">
        <f t="shared" si="3"/>
        <v>0.81428571428571428</v>
      </c>
      <c r="Q13" s="528">
        <v>89</v>
      </c>
      <c r="R13" s="528">
        <v>8</v>
      </c>
      <c r="S13" s="84">
        <v>1910136</v>
      </c>
      <c r="T13" s="24">
        <f t="shared" si="8"/>
        <v>1856491</v>
      </c>
      <c r="U13" s="84">
        <v>1499142</v>
      </c>
      <c r="V13" s="84">
        <v>357349</v>
      </c>
      <c r="W13" s="135">
        <f t="shared" si="4"/>
        <v>0.19248625498319141</v>
      </c>
    </row>
    <row r="14" spans="1:220">
      <c r="A14" s="15">
        <v>2012</v>
      </c>
      <c r="B14" s="528">
        <v>8</v>
      </c>
      <c r="C14" s="528">
        <v>3</v>
      </c>
      <c r="D14" s="23">
        <f t="shared" si="5"/>
        <v>11</v>
      </c>
      <c r="E14" s="82">
        <f t="shared" si="6"/>
        <v>23</v>
      </c>
      <c r="F14" s="82">
        <f t="shared" si="7"/>
        <v>17</v>
      </c>
      <c r="G14" s="85"/>
      <c r="H14" s="85"/>
      <c r="I14" s="528">
        <v>56</v>
      </c>
      <c r="J14" s="528">
        <v>162</v>
      </c>
      <c r="K14" s="23">
        <f>I14+J14</f>
        <v>218</v>
      </c>
      <c r="L14" s="528">
        <v>87</v>
      </c>
      <c r="M14" s="82">
        <f>I14+L14</f>
        <v>143</v>
      </c>
      <c r="N14" s="528">
        <v>3</v>
      </c>
      <c r="O14" s="528">
        <v>186</v>
      </c>
      <c r="P14" s="133">
        <f t="shared" si="3"/>
        <v>0.76881720430107525</v>
      </c>
      <c r="Q14" s="528">
        <v>116</v>
      </c>
      <c r="R14" s="528">
        <v>4</v>
      </c>
      <c r="S14" s="84">
        <v>1878234</v>
      </c>
      <c r="T14" s="24">
        <f t="shared" si="8"/>
        <v>1878264</v>
      </c>
      <c r="U14" s="84">
        <v>1465348</v>
      </c>
      <c r="V14" s="84">
        <v>412916</v>
      </c>
      <c r="W14" s="135">
        <f t="shared" si="4"/>
        <v>0.21983917063841932</v>
      </c>
    </row>
    <row r="15" spans="1:220">
      <c r="A15" s="15" t="s">
        <v>26</v>
      </c>
      <c r="B15" s="528">
        <v>7</v>
      </c>
      <c r="C15" s="528">
        <v>3</v>
      </c>
      <c r="D15" s="23">
        <f t="shared" si="5"/>
        <v>10</v>
      </c>
      <c r="E15" s="82">
        <f t="shared" si="6"/>
        <v>29</v>
      </c>
      <c r="F15" s="82">
        <f t="shared" si="7"/>
        <v>20</v>
      </c>
      <c r="G15" s="85"/>
      <c r="H15" s="85"/>
      <c r="I15" s="528">
        <v>76</v>
      </c>
      <c r="J15" s="528">
        <v>189</v>
      </c>
      <c r="K15" s="23">
        <f t="shared" ref="K15:K24" si="9">SUM(I15:J15)</f>
        <v>265</v>
      </c>
      <c r="L15" s="528">
        <v>101</v>
      </c>
      <c r="M15" s="82">
        <f t="shared" ref="M15:M24" si="10">(I15+L15)</f>
        <v>177</v>
      </c>
      <c r="N15" s="528">
        <v>11</v>
      </c>
      <c r="O15" s="528">
        <v>203</v>
      </c>
      <c r="P15" s="133">
        <f t="shared" si="3"/>
        <v>0.8719211822660099</v>
      </c>
      <c r="Q15" s="528">
        <v>97</v>
      </c>
      <c r="R15" s="528">
        <v>7</v>
      </c>
      <c r="S15" s="84">
        <v>1549044</v>
      </c>
      <c r="T15" s="24">
        <f t="shared" si="8"/>
        <v>2008061</v>
      </c>
      <c r="U15" s="84">
        <v>1437015</v>
      </c>
      <c r="V15" s="84">
        <v>571046</v>
      </c>
      <c r="W15" s="135">
        <f t="shared" si="4"/>
        <v>0.28437681923009311</v>
      </c>
    </row>
    <row r="16" spans="1:220">
      <c r="A16" s="15" t="s">
        <v>27</v>
      </c>
      <c r="B16" s="528">
        <v>8</v>
      </c>
      <c r="C16" s="528">
        <v>4.75</v>
      </c>
      <c r="D16" s="23">
        <f t="shared" si="5"/>
        <v>12.75</v>
      </c>
      <c r="E16" s="82">
        <f t="shared" si="6"/>
        <v>30</v>
      </c>
      <c r="F16" s="82">
        <f t="shared" si="7"/>
        <v>19</v>
      </c>
      <c r="G16" s="85"/>
      <c r="H16" s="85"/>
      <c r="I16" s="528">
        <v>94</v>
      </c>
      <c r="J16" s="528">
        <v>206</v>
      </c>
      <c r="K16" s="23">
        <f t="shared" si="9"/>
        <v>300</v>
      </c>
      <c r="L16" s="528">
        <v>112.53</v>
      </c>
      <c r="M16" s="82">
        <f t="shared" si="10"/>
        <v>206.53</v>
      </c>
      <c r="N16" s="528">
        <v>6</v>
      </c>
      <c r="O16" s="528">
        <v>237.19</v>
      </c>
      <c r="P16" s="133">
        <f t="shared" si="3"/>
        <v>0.87073654032632064</v>
      </c>
      <c r="Q16" s="528">
        <v>99</v>
      </c>
      <c r="R16" s="528">
        <v>9</v>
      </c>
      <c r="S16" s="84">
        <v>1900247</v>
      </c>
      <c r="T16" s="24">
        <f t="shared" si="8"/>
        <v>1900247</v>
      </c>
      <c r="U16" s="84">
        <v>1400300</v>
      </c>
      <c r="V16" s="84">
        <v>499947</v>
      </c>
      <c r="W16" s="135">
        <f t="shared" si="4"/>
        <v>0.26309579754631895</v>
      </c>
    </row>
    <row r="17" spans="1:221">
      <c r="A17" s="15" t="s">
        <v>28</v>
      </c>
      <c r="B17" s="528">
        <v>7</v>
      </c>
      <c r="C17" s="528">
        <v>4.75</v>
      </c>
      <c r="D17" s="23">
        <f t="shared" si="5"/>
        <v>11.75</v>
      </c>
      <c r="E17" s="82">
        <f t="shared" si="6"/>
        <v>31</v>
      </c>
      <c r="F17" s="82">
        <f t="shared" si="7"/>
        <v>19</v>
      </c>
      <c r="G17" s="85"/>
      <c r="H17" s="85"/>
      <c r="I17" s="528">
        <v>102</v>
      </c>
      <c r="J17" s="528">
        <v>192</v>
      </c>
      <c r="K17" s="23">
        <f t="shared" si="9"/>
        <v>294</v>
      </c>
      <c r="L17" s="528">
        <v>108.43</v>
      </c>
      <c r="M17" s="82">
        <f t="shared" si="10"/>
        <v>210.43</v>
      </c>
      <c r="N17" s="528">
        <v>11</v>
      </c>
      <c r="O17" s="528">
        <v>220.4</v>
      </c>
      <c r="P17" s="133">
        <f t="shared" si="3"/>
        <v>0.9547640653357532</v>
      </c>
      <c r="Q17" s="528">
        <v>83</v>
      </c>
      <c r="R17" s="528">
        <v>3</v>
      </c>
      <c r="S17" s="84">
        <v>1876256.86</v>
      </c>
      <c r="T17" s="24">
        <f t="shared" si="8"/>
        <v>1876257</v>
      </c>
      <c r="U17" s="84">
        <v>1400303</v>
      </c>
      <c r="V17" s="84">
        <v>475954</v>
      </c>
      <c r="W17" s="135">
        <f t="shared" si="4"/>
        <v>0.25367207157654842</v>
      </c>
    </row>
    <row r="18" spans="1:221">
      <c r="A18" s="15" t="s">
        <v>29</v>
      </c>
      <c r="B18" s="528">
        <v>7</v>
      </c>
      <c r="C18" s="528">
        <v>4</v>
      </c>
      <c r="D18" s="23">
        <f t="shared" si="5"/>
        <v>11</v>
      </c>
      <c r="E18" s="82">
        <f t="shared" si="6"/>
        <v>34</v>
      </c>
      <c r="F18" s="82">
        <f t="shared" si="7"/>
        <v>22</v>
      </c>
      <c r="G18" s="85"/>
      <c r="H18" s="85"/>
      <c r="I18" s="528">
        <v>102</v>
      </c>
      <c r="J18" s="528">
        <v>182</v>
      </c>
      <c r="K18" s="23">
        <f t="shared" si="9"/>
        <v>284</v>
      </c>
      <c r="L18" s="528">
        <v>98.9</v>
      </c>
      <c r="M18" s="82">
        <f t="shared" si="10"/>
        <v>200.9</v>
      </c>
      <c r="N18" s="528">
        <v>11</v>
      </c>
      <c r="O18" s="528">
        <v>237</v>
      </c>
      <c r="P18" s="133">
        <f t="shared" si="3"/>
        <v>0.84767932489451481</v>
      </c>
      <c r="Q18" s="528">
        <v>73</v>
      </c>
      <c r="R18" s="528">
        <v>9</v>
      </c>
      <c r="S18" s="84">
        <v>1621563.04</v>
      </c>
      <c r="T18" s="24">
        <f t="shared" si="8"/>
        <v>1621563</v>
      </c>
      <c r="U18" s="84">
        <v>1468526</v>
      </c>
      <c r="V18" s="84">
        <v>153037</v>
      </c>
      <c r="W18" s="135">
        <f t="shared" si="4"/>
        <v>9.4376228367322151E-2</v>
      </c>
    </row>
    <row r="19" spans="1:221">
      <c r="A19" s="15">
        <v>2007</v>
      </c>
      <c r="B19" s="528">
        <v>8</v>
      </c>
      <c r="C19" s="528">
        <v>3.25</v>
      </c>
      <c r="D19" s="23">
        <f t="shared" si="5"/>
        <v>11.25</v>
      </c>
      <c r="E19" s="82">
        <f t="shared" si="6"/>
        <v>25</v>
      </c>
      <c r="F19" s="82">
        <f t="shared" si="7"/>
        <v>18</v>
      </c>
      <c r="G19" s="85"/>
      <c r="H19" s="85"/>
      <c r="I19" s="528">
        <v>71</v>
      </c>
      <c r="J19" s="528">
        <v>162</v>
      </c>
      <c r="K19" s="23">
        <f t="shared" si="9"/>
        <v>233</v>
      </c>
      <c r="L19" s="528">
        <v>88.34</v>
      </c>
      <c r="M19" s="82">
        <f t="shared" si="10"/>
        <v>159.34</v>
      </c>
      <c r="N19" s="528">
        <v>8</v>
      </c>
      <c r="O19" s="528">
        <v>203</v>
      </c>
      <c r="P19" s="133">
        <f t="shared" si="3"/>
        <v>0.78492610837438426</v>
      </c>
      <c r="Q19" s="528">
        <v>94</v>
      </c>
      <c r="R19" s="528">
        <v>4</v>
      </c>
      <c r="S19" s="132">
        <v>1468330</v>
      </c>
      <c r="T19" s="24">
        <f t="shared" si="8"/>
        <v>1468330</v>
      </c>
      <c r="U19" s="132">
        <v>1260161</v>
      </c>
      <c r="V19" s="132">
        <v>208169</v>
      </c>
      <c r="W19" s="135">
        <f t="shared" si="4"/>
        <v>0.14177262604455401</v>
      </c>
    </row>
    <row r="20" spans="1:221">
      <c r="A20" s="15">
        <v>2006</v>
      </c>
      <c r="B20" s="528">
        <v>8</v>
      </c>
      <c r="C20" s="528">
        <v>4</v>
      </c>
      <c r="D20" s="23">
        <f t="shared" si="5"/>
        <v>12</v>
      </c>
      <c r="E20" s="82">
        <f t="shared" si="6"/>
        <v>25</v>
      </c>
      <c r="F20" s="82">
        <f t="shared" si="7"/>
        <v>17</v>
      </c>
      <c r="G20" s="85"/>
      <c r="H20" s="85"/>
      <c r="I20" s="528">
        <v>69</v>
      </c>
      <c r="J20" s="528">
        <v>164</v>
      </c>
      <c r="K20" s="23">
        <f t="shared" si="9"/>
        <v>233</v>
      </c>
      <c r="L20" s="528">
        <v>85</v>
      </c>
      <c r="M20" s="82">
        <f t="shared" si="10"/>
        <v>154</v>
      </c>
      <c r="N20" s="528">
        <v>10</v>
      </c>
      <c r="O20" s="528">
        <v>198</v>
      </c>
      <c r="P20" s="133">
        <f t="shared" si="3"/>
        <v>0.77777777777777779</v>
      </c>
      <c r="Q20" s="528">
        <v>101</v>
      </c>
      <c r="R20" s="528">
        <v>6</v>
      </c>
      <c r="S20" s="132">
        <v>1400825</v>
      </c>
      <c r="T20" s="24">
        <f t="shared" si="8"/>
        <v>1400825</v>
      </c>
      <c r="U20" s="132">
        <v>1201004</v>
      </c>
      <c r="V20" s="132">
        <v>199821</v>
      </c>
      <c r="W20" s="135">
        <f t="shared" si="4"/>
        <v>0.14264522691985079</v>
      </c>
    </row>
    <row r="21" spans="1:221">
      <c r="A21" s="15">
        <v>2005</v>
      </c>
      <c r="B21" s="528">
        <v>7</v>
      </c>
      <c r="C21" s="528">
        <v>6</v>
      </c>
      <c r="D21" s="23">
        <f t="shared" si="5"/>
        <v>13</v>
      </c>
      <c r="E21" s="82">
        <f t="shared" si="6"/>
        <v>34</v>
      </c>
      <c r="F21" s="82">
        <f t="shared" si="7"/>
        <v>18</v>
      </c>
      <c r="G21" s="85"/>
      <c r="H21" s="85"/>
      <c r="I21" s="528">
        <v>65</v>
      </c>
      <c r="J21" s="528">
        <v>180</v>
      </c>
      <c r="K21" s="23">
        <f t="shared" si="9"/>
        <v>245</v>
      </c>
      <c r="L21" s="528">
        <v>137</v>
      </c>
      <c r="M21" s="82">
        <f t="shared" si="10"/>
        <v>202</v>
      </c>
      <c r="N21" s="528">
        <v>9</v>
      </c>
      <c r="O21" s="528">
        <v>239</v>
      </c>
      <c r="P21" s="133">
        <f t="shared" si="3"/>
        <v>0.84518828451882844</v>
      </c>
      <c r="Q21" s="528">
        <v>79</v>
      </c>
      <c r="R21" s="528">
        <v>8</v>
      </c>
      <c r="S21" s="132">
        <v>1232336.67</v>
      </c>
      <c r="T21" s="24">
        <f t="shared" si="8"/>
        <v>1232337</v>
      </c>
      <c r="U21" s="132">
        <v>1168664</v>
      </c>
      <c r="V21" s="132">
        <v>63673</v>
      </c>
      <c r="W21" s="135">
        <f t="shared" si="4"/>
        <v>5.1668496523272447E-2</v>
      </c>
    </row>
    <row r="22" spans="1:221">
      <c r="A22" s="15">
        <v>2004</v>
      </c>
      <c r="B22" s="528">
        <v>17</v>
      </c>
      <c r="C22" s="528">
        <v>4</v>
      </c>
      <c r="D22" s="23">
        <f t="shared" si="5"/>
        <v>21</v>
      </c>
      <c r="E22" s="82">
        <f t="shared" si="6"/>
        <v>15</v>
      </c>
      <c r="F22" s="82">
        <f t="shared" si="7"/>
        <v>12</v>
      </c>
      <c r="G22" s="85"/>
      <c r="H22" s="85"/>
      <c r="I22" s="528">
        <v>84</v>
      </c>
      <c r="J22" s="528">
        <v>154</v>
      </c>
      <c r="K22" s="23">
        <f t="shared" si="9"/>
        <v>238</v>
      </c>
      <c r="L22" s="528">
        <v>75</v>
      </c>
      <c r="M22" s="82">
        <f t="shared" si="10"/>
        <v>159</v>
      </c>
      <c r="N22" s="528">
        <v>7</v>
      </c>
      <c r="O22" s="528">
        <v>260</v>
      </c>
      <c r="P22" s="133">
        <f t="shared" si="3"/>
        <v>0.61153846153846159</v>
      </c>
      <c r="Q22" s="528">
        <v>105</v>
      </c>
      <c r="R22" s="528">
        <v>96</v>
      </c>
      <c r="S22" s="132">
        <v>3728722</v>
      </c>
      <c r="T22" s="24">
        <f t="shared" si="8"/>
        <v>3728722</v>
      </c>
      <c r="U22" s="132">
        <v>2684030</v>
      </c>
      <c r="V22" s="132">
        <v>1044692</v>
      </c>
      <c r="W22" s="135">
        <f t="shared" si="4"/>
        <v>0.28017427955208246</v>
      </c>
    </row>
    <row r="23" spans="1:221">
      <c r="A23" s="15">
        <v>2003</v>
      </c>
      <c r="B23" s="528">
        <v>19</v>
      </c>
      <c r="C23" s="528">
        <v>5</v>
      </c>
      <c r="D23" s="23">
        <f t="shared" si="5"/>
        <v>24</v>
      </c>
      <c r="E23" s="82">
        <f t="shared" si="6"/>
        <v>23</v>
      </c>
      <c r="F23" s="82">
        <f t="shared" si="7"/>
        <v>18</v>
      </c>
      <c r="G23" s="85"/>
      <c r="H23" s="85"/>
      <c r="I23" s="528">
        <v>63</v>
      </c>
      <c r="J23" s="528">
        <v>192</v>
      </c>
      <c r="K23" s="23">
        <f t="shared" si="9"/>
        <v>255</v>
      </c>
      <c r="L23" s="528">
        <v>140</v>
      </c>
      <c r="M23" s="82">
        <f t="shared" si="10"/>
        <v>203</v>
      </c>
      <c r="N23" s="528">
        <v>7</v>
      </c>
      <c r="O23" s="528">
        <v>442</v>
      </c>
      <c r="P23" s="133">
        <f t="shared" si="3"/>
        <v>0.45927601809954749</v>
      </c>
      <c r="Q23" s="528">
        <v>100</v>
      </c>
      <c r="R23" s="528">
        <v>100</v>
      </c>
      <c r="S23" s="132">
        <v>3750802</v>
      </c>
      <c r="T23" s="24">
        <f t="shared" si="8"/>
        <v>3750802</v>
      </c>
      <c r="U23" s="132">
        <v>2605748</v>
      </c>
      <c r="V23" s="132">
        <v>1145054</v>
      </c>
      <c r="W23" s="135">
        <f t="shared" si="4"/>
        <v>0.30528244359472989</v>
      </c>
    </row>
    <row r="24" spans="1:221">
      <c r="A24" s="15">
        <v>2002</v>
      </c>
      <c r="B24" s="528">
        <v>18</v>
      </c>
      <c r="C24" s="528">
        <f>ROUND(10.8, 0)</f>
        <v>11</v>
      </c>
      <c r="D24" s="23">
        <f t="shared" si="5"/>
        <v>29</v>
      </c>
      <c r="E24" s="82">
        <f t="shared" si="6"/>
        <v>27</v>
      </c>
      <c r="F24" s="82">
        <f t="shared" si="7"/>
        <v>17</v>
      </c>
      <c r="G24" s="85"/>
      <c r="H24" s="85"/>
      <c r="I24" s="528">
        <v>70</v>
      </c>
      <c r="J24" s="528">
        <v>202</v>
      </c>
      <c r="K24" s="23">
        <f t="shared" si="9"/>
        <v>272</v>
      </c>
      <c r="L24" s="528">
        <f>ROUND(110.5, 0)</f>
        <v>111</v>
      </c>
      <c r="M24" s="82">
        <f t="shared" si="10"/>
        <v>181</v>
      </c>
      <c r="N24" s="528">
        <v>13</v>
      </c>
      <c r="O24" s="528">
        <f>ROUND(483.84, 0)</f>
        <v>484</v>
      </c>
      <c r="P24" s="133">
        <f t="shared" si="3"/>
        <v>0.37396694214876031</v>
      </c>
      <c r="Q24" s="528">
        <v>61</v>
      </c>
      <c r="R24" s="528">
        <v>68</v>
      </c>
      <c r="S24" s="132">
        <v>4469532</v>
      </c>
      <c r="T24" s="24">
        <f t="shared" si="8"/>
        <v>4469532</v>
      </c>
      <c r="U24" s="132">
        <v>2643139</v>
      </c>
      <c r="V24" s="132">
        <v>1826393</v>
      </c>
      <c r="W24" s="135">
        <f t="shared" si="4"/>
        <v>0.40863182096022582</v>
      </c>
    </row>
    <row r="25" spans="1:221">
      <c r="A25" s="538" t="s">
        <v>138</v>
      </c>
      <c r="B25" s="538"/>
      <c r="C25" s="538"/>
      <c r="D25" s="538"/>
      <c r="E25" s="538"/>
      <c r="F25" s="538"/>
      <c r="G25" s="538"/>
      <c r="H25" s="538"/>
      <c r="I25" s="538"/>
      <c r="J25" s="538"/>
      <c r="K25" s="538"/>
      <c r="L25" s="538"/>
      <c r="M25" s="538"/>
      <c r="N25" s="538"/>
      <c r="O25" s="538"/>
      <c r="P25" s="538"/>
      <c r="Q25" s="538"/>
      <c r="R25" s="538"/>
      <c r="S25" s="538"/>
      <c r="T25" s="538"/>
      <c r="U25" s="538"/>
      <c r="V25" s="538"/>
      <c r="W25" s="538"/>
    </row>
    <row r="26" spans="1:221" s="12" customFormat="1">
      <c r="A26" s="539" t="s">
        <v>139</v>
      </c>
      <c r="B26" s="538"/>
      <c r="C26" s="538"/>
      <c r="D26" s="538"/>
      <c r="E26" s="538"/>
      <c r="F26" s="538"/>
      <c r="G26" s="538"/>
      <c r="H26" s="538"/>
      <c r="I26" s="538"/>
      <c r="J26" s="538"/>
      <c r="K26" s="538"/>
      <c r="L26" s="538"/>
      <c r="M26" s="538"/>
      <c r="N26" s="538"/>
      <c r="O26" s="538"/>
      <c r="P26" s="538"/>
      <c r="Q26" s="538"/>
      <c r="R26" s="538"/>
      <c r="S26" s="538"/>
      <c r="T26" s="538"/>
      <c r="U26" s="538"/>
      <c r="V26" s="538"/>
      <c r="W26" s="538"/>
    </row>
    <row r="27" spans="1:221" s="12" customFormat="1">
      <c r="A27" s="557" t="s">
        <v>140</v>
      </c>
      <c r="B27" s="550"/>
      <c r="C27" s="550"/>
      <c r="D27" s="550"/>
      <c r="E27" s="550"/>
      <c r="F27" s="550"/>
      <c r="G27" s="550"/>
      <c r="H27" s="550"/>
      <c r="I27" s="550"/>
      <c r="J27" s="550"/>
      <c r="K27" s="550"/>
      <c r="L27" s="550"/>
      <c r="M27" s="538"/>
      <c r="N27" s="538"/>
      <c r="O27" s="538"/>
      <c r="P27" s="538"/>
      <c r="Q27" s="538"/>
      <c r="R27" s="538"/>
      <c r="S27" s="538"/>
      <c r="T27" s="538"/>
      <c r="U27" s="538"/>
      <c r="V27" s="538"/>
      <c r="W27" s="538"/>
    </row>
    <row r="28" spans="1:221" s="12" customFormat="1">
      <c r="A28" s="539" t="s">
        <v>141</v>
      </c>
      <c r="B28" s="538"/>
      <c r="C28" s="538"/>
      <c r="D28" s="538"/>
      <c r="E28" s="538"/>
      <c r="F28" s="538"/>
      <c r="G28" s="538"/>
      <c r="H28" s="538"/>
      <c r="I28" s="538"/>
      <c r="J28" s="538"/>
      <c r="K28" s="538"/>
      <c r="L28" s="538"/>
      <c r="M28" s="538"/>
      <c r="N28" s="538"/>
      <c r="O28" s="538"/>
      <c r="P28" s="538"/>
      <c r="Q28" s="538"/>
      <c r="R28" s="538"/>
      <c r="S28" s="538"/>
      <c r="T28" s="538"/>
      <c r="U28" s="538"/>
      <c r="V28" s="538"/>
      <c r="W28" s="538"/>
    </row>
    <row r="29" spans="1:221" s="12" customFormat="1">
      <c r="A29" s="12" t="s">
        <v>142</v>
      </c>
      <c r="G29"/>
      <c r="H29"/>
    </row>
    <row r="30" spans="1:221" s="12" customFormat="1">
      <c r="A30" s="434" t="s">
        <v>143</v>
      </c>
      <c r="B30" s="434"/>
      <c r="C30" s="434"/>
      <c r="D30" s="434"/>
      <c r="E30" s="434"/>
      <c r="F30" s="434"/>
      <c r="G30" s="434"/>
      <c r="H30" s="434"/>
      <c r="I30" s="434"/>
      <c r="J30" s="434"/>
      <c r="K30" s="434"/>
      <c r="L30" s="434"/>
      <c r="M30" s="434"/>
      <c r="N30" s="434"/>
      <c r="O30" s="434"/>
      <c r="P30" s="434"/>
      <c r="Q30" s="434"/>
      <c r="R30" s="434"/>
      <c r="S30" s="434"/>
      <c r="T30" s="434"/>
      <c r="U30" s="434"/>
      <c r="V30" s="434"/>
      <c r="W30" s="434"/>
      <c r="X30" s="434"/>
      <c r="Y30" s="434"/>
      <c r="Z30" s="434"/>
      <c r="AA30" s="434"/>
      <c r="AB30" s="434"/>
      <c r="AC30" s="434"/>
      <c r="AD30" s="434"/>
      <c r="AE30" s="434"/>
      <c r="AF30" s="434"/>
      <c r="AG30" s="434"/>
      <c r="AH30" s="434"/>
      <c r="AI30" s="434"/>
      <c r="AJ30" s="434"/>
      <c r="AK30" s="434"/>
      <c r="AL30" s="434"/>
      <c r="AM30" s="434"/>
      <c r="AN30" s="434"/>
      <c r="AO30" s="434"/>
      <c r="AP30" s="434"/>
      <c r="AQ30" s="434"/>
      <c r="AR30" s="434"/>
      <c r="AS30" s="434"/>
      <c r="AT30" s="434"/>
      <c r="AU30" s="434"/>
      <c r="AV30" s="434"/>
      <c r="AW30" s="434"/>
      <c r="AX30" s="434"/>
      <c r="AY30" s="434"/>
      <c r="AZ30" s="434"/>
      <c r="BA30" s="434"/>
      <c r="BB30" s="434"/>
      <c r="BC30" s="434"/>
      <c r="BD30" s="434"/>
      <c r="BE30" s="434"/>
      <c r="BF30" s="434"/>
      <c r="BG30" s="434"/>
      <c r="BH30" s="434"/>
      <c r="BI30" s="434"/>
      <c r="BJ30" s="434"/>
      <c r="BK30" s="434"/>
      <c r="BL30" s="434"/>
      <c r="BM30" s="434"/>
      <c r="BN30" s="434"/>
      <c r="BO30" s="434"/>
      <c r="BP30" s="434"/>
      <c r="BQ30" s="434"/>
      <c r="BR30" s="434"/>
      <c r="BS30" s="434"/>
      <c r="BT30" s="434"/>
      <c r="BU30" s="434"/>
      <c r="BV30" s="434"/>
      <c r="BW30" s="434"/>
      <c r="BX30" s="434"/>
      <c r="BY30" s="434"/>
      <c r="BZ30" s="434"/>
      <c r="CA30" s="434"/>
      <c r="CB30" s="434"/>
      <c r="CC30" s="434"/>
      <c r="CD30" s="434"/>
      <c r="CE30" s="434"/>
      <c r="CF30" s="434"/>
      <c r="CG30" s="434"/>
      <c r="CH30" s="434"/>
      <c r="CI30" s="434"/>
      <c r="CJ30" s="434"/>
      <c r="CK30" s="434"/>
      <c r="CL30" s="434"/>
      <c r="CM30" s="434"/>
      <c r="CN30" s="434"/>
      <c r="CO30" s="434"/>
      <c r="CP30" s="434"/>
      <c r="CQ30" s="434"/>
      <c r="CR30" s="434"/>
      <c r="CS30" s="434"/>
      <c r="CT30" s="434"/>
      <c r="CU30" s="434"/>
      <c r="CV30" s="434"/>
      <c r="CW30" s="434"/>
      <c r="CX30" s="434"/>
      <c r="CY30" s="434"/>
      <c r="CZ30" s="434"/>
      <c r="DA30" s="434"/>
      <c r="DB30" s="434"/>
      <c r="DC30" s="434"/>
      <c r="DD30" s="434"/>
      <c r="DE30" s="434"/>
      <c r="DF30" s="434"/>
      <c r="DG30" s="434"/>
      <c r="DH30" s="434"/>
      <c r="DI30" s="434"/>
      <c r="DJ30" s="434"/>
      <c r="DK30" s="434"/>
      <c r="DL30" s="434"/>
      <c r="DM30" s="434"/>
      <c r="DN30" s="434"/>
      <c r="DO30" s="434"/>
      <c r="DP30" s="434"/>
      <c r="DQ30" s="434"/>
      <c r="DR30" s="434"/>
      <c r="DS30" s="434"/>
      <c r="DT30" s="434"/>
      <c r="DU30" s="434"/>
      <c r="DV30" s="434"/>
      <c r="DW30" s="434"/>
      <c r="DX30" s="434"/>
      <c r="DY30" s="434"/>
      <c r="DZ30" s="434"/>
      <c r="EA30" s="434"/>
      <c r="EB30" s="434"/>
      <c r="EC30" s="434"/>
      <c r="ED30" s="434"/>
      <c r="EE30" s="434"/>
      <c r="EF30" s="434"/>
      <c r="EG30" s="434"/>
      <c r="EH30" s="434"/>
      <c r="EI30" s="434"/>
      <c r="EJ30" s="434"/>
      <c r="EK30" s="434"/>
      <c r="EL30" s="434"/>
      <c r="EM30" s="434"/>
      <c r="EN30" s="434"/>
      <c r="EO30" s="434"/>
      <c r="EP30" s="434"/>
      <c r="EQ30" s="434"/>
      <c r="ER30" s="434"/>
      <c r="ES30" s="434"/>
      <c r="ET30" s="434"/>
      <c r="EU30" s="434"/>
      <c r="EV30" s="434"/>
      <c r="EW30" s="434"/>
      <c r="EX30" s="434"/>
      <c r="EY30" s="434"/>
      <c r="EZ30" s="434"/>
      <c r="FA30" s="434"/>
      <c r="FB30" s="434"/>
      <c r="FC30" s="434"/>
      <c r="FD30" s="434"/>
      <c r="FE30" s="434"/>
      <c r="FF30" s="434"/>
      <c r="FG30" s="434"/>
      <c r="FH30" s="434"/>
      <c r="FI30" s="434"/>
      <c r="FJ30" s="434"/>
      <c r="FK30" s="434"/>
      <c r="FL30" s="434"/>
      <c r="FM30" s="434"/>
      <c r="FN30" s="434"/>
      <c r="FO30" s="434"/>
      <c r="FP30" s="434"/>
      <c r="FQ30" s="434"/>
      <c r="FR30" s="434"/>
      <c r="FS30" s="434"/>
      <c r="FT30" s="434"/>
      <c r="FU30" s="434"/>
      <c r="FV30" s="434"/>
      <c r="FW30" s="434"/>
      <c r="FX30" s="434"/>
      <c r="FY30" s="434"/>
      <c r="FZ30" s="434"/>
      <c r="GA30" s="434"/>
      <c r="GB30" s="434"/>
      <c r="GC30" s="434"/>
      <c r="GD30" s="434"/>
      <c r="GE30" s="434"/>
      <c r="GF30" s="434"/>
      <c r="GG30" s="434"/>
      <c r="GH30" s="434"/>
      <c r="GI30" s="434"/>
      <c r="GJ30" s="434"/>
      <c r="GK30" s="434"/>
      <c r="GL30" s="434"/>
      <c r="GM30" s="434"/>
      <c r="GN30" s="434"/>
      <c r="GO30" s="434"/>
      <c r="GP30" s="434"/>
      <c r="GQ30" s="434"/>
      <c r="GR30" s="434"/>
      <c r="GS30" s="434"/>
      <c r="GT30" s="434"/>
      <c r="GU30" s="434"/>
      <c r="GV30" s="434"/>
      <c r="GW30" s="434"/>
      <c r="GX30" s="434"/>
      <c r="GY30" s="434"/>
      <c r="GZ30" s="434"/>
      <c r="HA30" s="434"/>
      <c r="HB30" s="434"/>
      <c r="HC30" s="434"/>
      <c r="HD30" s="434"/>
      <c r="HE30" s="434"/>
      <c r="HF30" s="434"/>
      <c r="HG30" s="434"/>
      <c r="HH30" s="434"/>
      <c r="HI30" s="434"/>
      <c r="HJ30" s="434"/>
      <c r="HK30" s="434"/>
      <c r="HL30" s="434"/>
      <c r="HM30" s="434"/>
    </row>
    <row r="31" spans="1:221" s="12" customFormat="1">
      <c r="G31"/>
      <c r="H31"/>
    </row>
    <row r="32" spans="1:221" s="12" customFormat="1">
      <c r="G32"/>
      <c r="H32"/>
    </row>
    <row r="33" spans="7:8" s="12" customFormat="1">
      <c r="G33"/>
      <c r="H33"/>
    </row>
    <row r="34" spans="7:8" s="12" customFormat="1">
      <c r="G34"/>
      <c r="H34"/>
    </row>
  </sheetData>
  <mergeCells count="5">
    <mergeCell ref="A28:W28"/>
    <mergeCell ref="A1:C1"/>
    <mergeCell ref="A25:W25"/>
    <mergeCell ref="A26:W26"/>
    <mergeCell ref="A27:W27"/>
  </mergeCells>
  <hyperlinks>
    <hyperlink ref="A1" location="'Table of Contents'!A1" display="&lt;&lt;Back to Table of Contents" xr:uid="{00000000-0004-0000-1E00-000000000000}"/>
  </hyperlinks>
  <printOptions headings="1" gridLines="1"/>
  <pageMargins left="0.5" right="0.5" top="0.5" bottom="0.5" header="0" footer="0"/>
  <pageSetup paperSize="5" scale="67" orientation="landscape" horizontalDpi="1200" verticalDpi="1200"/>
  <legacyDrawing r:id="rId1"/>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HL34"/>
  <sheetViews>
    <sheetView workbookViewId="0">
      <selection activeCell="G4" sqref="G4"/>
    </sheetView>
  </sheetViews>
  <sheetFormatPr defaultColWidth="8.85546875" defaultRowHeight="15"/>
  <cols>
    <col min="1" max="1" width="13.7109375" bestFit="1"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10" max="11" width="11.85546875" bestFit="1" customWidth="1"/>
    <col min="12" max="12" width="12.28515625" bestFit="1" customWidth="1"/>
    <col min="13" max="13" width="13.140625" bestFit="1" customWidth="1"/>
    <col min="14" max="14" width="10.7109375"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0.85546875" bestFit="1" customWidth="1"/>
    <col min="23" max="23" width="12.85546875" bestFit="1" customWidth="1"/>
  </cols>
  <sheetData>
    <row r="1" spans="1:220" s="7" customFormat="1" ht="18.75">
      <c r="A1" s="1" t="s">
        <v>144</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72" customFormat="1">
      <c r="A3" s="105">
        <v>2022</v>
      </c>
      <c r="B3" s="295">
        <v>15</v>
      </c>
      <c r="C3" s="295">
        <v>8</v>
      </c>
      <c r="D3" s="23">
        <f t="shared" ref="D3" si="0">SUM(B3:C3)</f>
        <v>23</v>
      </c>
      <c r="E3" s="82">
        <f t="shared" ref="E3" si="1">ROUND((O3/B3), 0)</f>
        <v>16</v>
      </c>
      <c r="F3" s="82">
        <f t="shared" ref="F3" si="2">ROUND((O3/D3), 0)</f>
        <v>11</v>
      </c>
      <c r="G3" s="295">
        <v>10</v>
      </c>
      <c r="H3" s="295">
        <v>3.75</v>
      </c>
      <c r="I3" s="66">
        <v>108</v>
      </c>
      <c r="J3" s="66">
        <v>61</v>
      </c>
      <c r="K3" s="23">
        <f t="shared" ref="K3" si="3">SUM(I3:J3)</f>
        <v>169</v>
      </c>
      <c r="L3" s="66">
        <v>33</v>
      </c>
      <c r="M3" s="82">
        <f t="shared" ref="M3" si="4">(I3+L3)</f>
        <v>141</v>
      </c>
      <c r="N3" s="284" t="s">
        <v>40</v>
      </c>
      <c r="O3" s="66">
        <v>246</v>
      </c>
      <c r="P3" s="133">
        <f t="shared" ref="P3" si="5">M3/O3</f>
        <v>0.57317073170731703</v>
      </c>
      <c r="Q3" s="66">
        <v>91</v>
      </c>
      <c r="R3" s="66">
        <v>64</v>
      </c>
      <c r="S3" s="20">
        <v>3833906</v>
      </c>
      <c r="T3" s="24">
        <f t="shared" ref="T3" si="6">SUM(U3:V3)</f>
        <v>4338533</v>
      </c>
      <c r="U3" s="20">
        <v>4287523</v>
      </c>
      <c r="V3" s="20">
        <v>51010</v>
      </c>
      <c r="W3" s="135">
        <f t="shared" ref="W3" si="7">V3/T3</f>
        <v>1.1757430449416888E-2</v>
      </c>
    </row>
    <row r="4" spans="1:220" s="72" customFormat="1">
      <c r="A4" s="105">
        <v>2021</v>
      </c>
      <c r="B4" s="295">
        <v>15</v>
      </c>
      <c r="C4" s="295">
        <v>8.75</v>
      </c>
      <c r="D4" s="23">
        <f>SUM(B4:C4)</f>
        <v>23.75</v>
      </c>
      <c r="E4" s="82">
        <f t="shared" ref="E4" si="8">ROUND((O4/B4), 0)</f>
        <v>17</v>
      </c>
      <c r="F4" s="82">
        <f t="shared" ref="F4" si="9">ROUND((O4/D4), 0)</f>
        <v>11</v>
      </c>
      <c r="G4" s="295">
        <v>13</v>
      </c>
      <c r="H4" s="295">
        <v>5.5</v>
      </c>
      <c r="I4" s="66">
        <v>128</v>
      </c>
      <c r="J4" s="66">
        <v>66</v>
      </c>
      <c r="K4" s="23">
        <f t="shared" ref="K4" si="10">SUM(I4:J4)</f>
        <v>194</v>
      </c>
      <c r="L4" s="66">
        <v>36</v>
      </c>
      <c r="M4" s="82">
        <f>(I4+L4)</f>
        <v>164</v>
      </c>
      <c r="N4" s="284" t="s">
        <v>40</v>
      </c>
      <c r="O4" s="66">
        <v>261</v>
      </c>
      <c r="P4" s="133">
        <f t="shared" ref="P4" si="11">M4/O4</f>
        <v>0.62835249042145591</v>
      </c>
      <c r="Q4" s="66">
        <v>117</v>
      </c>
      <c r="R4" s="66">
        <v>70</v>
      </c>
      <c r="S4" s="20">
        <v>3642564</v>
      </c>
      <c r="T4" s="24">
        <f t="shared" ref="T4" si="12">SUM(U4:V4)</f>
        <v>4424076</v>
      </c>
      <c r="U4" s="20">
        <v>3781329</v>
      </c>
      <c r="V4" s="20">
        <v>642747</v>
      </c>
      <c r="W4" s="135">
        <f t="shared" ref="W4" si="13">V4/T4</f>
        <v>0.14528389656958876</v>
      </c>
    </row>
    <row r="5" spans="1:220" s="72" customFormat="1">
      <c r="A5" s="105">
        <v>2020</v>
      </c>
      <c r="B5" s="295">
        <v>14</v>
      </c>
      <c r="C5" s="295">
        <v>4.25</v>
      </c>
      <c r="D5" s="23">
        <f>SUM(B5:C5)</f>
        <v>18.25</v>
      </c>
      <c r="E5" s="82">
        <f>ROUND((O5/B5), 0)</f>
        <v>18</v>
      </c>
      <c r="F5" s="82">
        <f>ROUND((O5/D5), 0)</f>
        <v>13</v>
      </c>
      <c r="G5" s="295">
        <v>14</v>
      </c>
      <c r="H5" s="295">
        <v>2.375</v>
      </c>
      <c r="I5" s="66">
        <v>162</v>
      </c>
      <c r="J5" s="66">
        <v>58</v>
      </c>
      <c r="K5" s="23">
        <f t="shared" ref="K5" si="14">SUM(I5:J5)</f>
        <v>220</v>
      </c>
      <c r="L5" s="66">
        <v>32.5</v>
      </c>
      <c r="M5" s="82">
        <f>(I5+L5)</f>
        <v>194.5</v>
      </c>
      <c r="N5" s="284" t="s">
        <v>40</v>
      </c>
      <c r="O5" s="66">
        <v>245</v>
      </c>
      <c r="P5" s="133">
        <f t="shared" ref="P5" si="15">M5/O5</f>
        <v>0.79387755102040813</v>
      </c>
      <c r="Q5" s="66">
        <v>59</v>
      </c>
      <c r="R5" s="66">
        <v>83</v>
      </c>
      <c r="S5" s="20">
        <v>3286731</v>
      </c>
      <c r="T5" s="24">
        <f>SUM(U5:V5)</f>
        <v>3981339</v>
      </c>
      <c r="U5" s="20">
        <v>3745939</v>
      </c>
      <c r="V5" s="20">
        <v>235400</v>
      </c>
      <c r="W5" s="135">
        <f t="shared" ref="W5" si="16">V5/T5</f>
        <v>5.9125836810178689E-2</v>
      </c>
    </row>
    <row r="6" spans="1:220" s="72" customFormat="1">
      <c r="A6" s="105">
        <v>2019</v>
      </c>
      <c r="B6" s="295">
        <v>14</v>
      </c>
      <c r="C6" s="295">
        <v>4.25</v>
      </c>
      <c r="D6" s="23">
        <f>SUM(B6:C6)</f>
        <v>18.25</v>
      </c>
      <c r="E6" s="82">
        <f>ROUND((O6/B6), 0)</f>
        <v>20</v>
      </c>
      <c r="F6" s="82">
        <f>ROUND((O6/D6), 0)</f>
        <v>16</v>
      </c>
      <c r="G6" s="295">
        <v>14</v>
      </c>
      <c r="H6" s="295">
        <v>2</v>
      </c>
      <c r="I6" s="295">
        <v>160</v>
      </c>
      <c r="J6" s="295">
        <v>56</v>
      </c>
      <c r="K6" s="23">
        <f>SUM(I6:J6)</f>
        <v>216</v>
      </c>
      <c r="L6" s="295">
        <v>28.25</v>
      </c>
      <c r="M6" s="82">
        <f>(I6+L6)</f>
        <v>188.25</v>
      </c>
      <c r="N6" s="284" t="s">
        <v>40</v>
      </c>
      <c r="O6" s="295">
        <v>286.75</v>
      </c>
      <c r="P6" s="133">
        <f>M6/O6</f>
        <v>0.65649520488230162</v>
      </c>
      <c r="Q6" s="295">
        <v>64</v>
      </c>
      <c r="R6" s="295">
        <v>59</v>
      </c>
      <c r="S6" s="20">
        <v>3233148</v>
      </c>
      <c r="T6" s="24">
        <f>SUM(U6:V6)</f>
        <v>3625361</v>
      </c>
      <c r="U6" s="20">
        <v>3200663</v>
      </c>
      <c r="V6" s="20">
        <v>424698</v>
      </c>
      <c r="W6" s="135">
        <f>V6/T6</f>
        <v>0.11714640279961085</v>
      </c>
    </row>
    <row r="7" spans="1:220" s="14" customFormat="1">
      <c r="A7" s="10">
        <v>2018</v>
      </c>
      <c r="B7" s="17">
        <v>13</v>
      </c>
      <c r="C7" s="17">
        <v>4.25</v>
      </c>
      <c r="D7" s="23">
        <f>SUM(B7:C7)</f>
        <v>17.25</v>
      </c>
      <c r="E7" s="82">
        <f>ROUND((O7/B7), 0)</f>
        <v>23</v>
      </c>
      <c r="F7" s="82">
        <f>ROUND((O7/D7), 0)</f>
        <v>18</v>
      </c>
      <c r="G7" s="17">
        <v>13</v>
      </c>
      <c r="H7" s="17">
        <v>2</v>
      </c>
      <c r="I7" s="17">
        <v>149</v>
      </c>
      <c r="J7" s="17">
        <v>82</v>
      </c>
      <c r="K7" s="23">
        <f t="shared" ref="K7" si="17">SUM(I7:J7)</f>
        <v>231</v>
      </c>
      <c r="L7" s="17">
        <v>41.75</v>
      </c>
      <c r="M7" s="82">
        <f>(I7+L7)</f>
        <v>190.75</v>
      </c>
      <c r="N7" s="284" t="s">
        <v>40</v>
      </c>
      <c r="O7" s="17">
        <v>303.25</v>
      </c>
      <c r="P7" s="133">
        <f>M7/O7</f>
        <v>0.62901896125309154</v>
      </c>
      <c r="Q7" s="17">
        <v>84</v>
      </c>
      <c r="R7" s="17">
        <v>98</v>
      </c>
      <c r="S7" s="20">
        <v>3141577</v>
      </c>
      <c r="T7" s="24">
        <f>SUM(U7:V7)</f>
        <v>2852756</v>
      </c>
      <c r="U7" s="20">
        <v>2538026</v>
      </c>
      <c r="V7" s="20">
        <v>314730</v>
      </c>
      <c r="W7" s="135">
        <f>V7/T7</f>
        <v>0.11032489284046726</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15</v>
      </c>
      <c r="C8" s="17">
        <f>15/4</f>
        <v>3.75</v>
      </c>
      <c r="D8" s="27">
        <f>SUM(B8:C8)</f>
        <v>18.75</v>
      </c>
      <c r="E8" s="27">
        <f>ROUND((O8/B8), 0)</f>
        <v>22</v>
      </c>
      <c r="F8" s="27">
        <f>ROUND((O8/D8), 0)</f>
        <v>18</v>
      </c>
      <c r="G8" s="17">
        <v>13</v>
      </c>
      <c r="H8" s="17">
        <v>1.5</v>
      </c>
      <c r="I8" s="17">
        <v>158</v>
      </c>
      <c r="J8" s="17">
        <v>82</v>
      </c>
      <c r="K8" s="27">
        <f>SUM(I8:J8)</f>
        <v>240</v>
      </c>
      <c r="L8" s="17">
        <v>41.75</v>
      </c>
      <c r="M8" s="29">
        <f>(I8+L8)</f>
        <v>199.75</v>
      </c>
      <c r="N8" s="19" t="s">
        <v>40</v>
      </c>
      <c r="O8" s="255">
        <v>333.75</v>
      </c>
      <c r="P8" s="133">
        <f t="shared" ref="P8:P23" si="18">M8/O8</f>
        <v>0.59850187265917598</v>
      </c>
      <c r="Q8" s="17">
        <v>151</v>
      </c>
      <c r="R8" s="17">
        <v>110</v>
      </c>
      <c r="S8" s="223">
        <v>3150757</v>
      </c>
      <c r="T8" s="28">
        <f>SUM(U8:V8)</f>
        <v>3720656</v>
      </c>
      <c r="U8" s="252">
        <v>3189202</v>
      </c>
      <c r="V8" s="20">
        <v>531454</v>
      </c>
      <c r="W8" s="135">
        <f t="shared" ref="W8:W23" si="19">V8/T8</f>
        <v>0.14283878971880229</v>
      </c>
    </row>
    <row r="9" spans="1:220" s="9" customFormat="1">
      <c r="A9" s="10">
        <v>2016</v>
      </c>
      <c r="B9" s="54">
        <v>15</v>
      </c>
      <c r="C9" s="54">
        <v>2.0499999999999998</v>
      </c>
      <c r="D9" s="23">
        <f>B9+C9</f>
        <v>17.05</v>
      </c>
      <c r="E9" s="82">
        <f>ROUND((O9/B9), 0)</f>
        <v>25</v>
      </c>
      <c r="F9" s="82">
        <f>ROUND((O9/D9), 0)</f>
        <v>22</v>
      </c>
      <c r="G9" s="54">
        <v>14</v>
      </c>
      <c r="H9" s="54">
        <v>1.3</v>
      </c>
      <c r="I9" s="54">
        <v>175</v>
      </c>
      <c r="J9" s="54">
        <v>78</v>
      </c>
      <c r="K9" s="23">
        <f>I9+J9</f>
        <v>253</v>
      </c>
      <c r="L9" s="54">
        <v>45</v>
      </c>
      <c r="M9" s="82">
        <f>I9+L9</f>
        <v>220</v>
      </c>
      <c r="N9" s="19" t="s">
        <v>40</v>
      </c>
      <c r="O9" s="54">
        <v>382</v>
      </c>
      <c r="P9" s="133">
        <f t="shared" si="18"/>
        <v>0.5759162303664922</v>
      </c>
      <c r="Q9" s="54">
        <v>100</v>
      </c>
      <c r="R9" s="54">
        <v>131</v>
      </c>
      <c r="S9" s="78">
        <v>3122802</v>
      </c>
      <c r="T9" s="24">
        <f>SUM(U9:V9)</f>
        <v>3220937</v>
      </c>
      <c r="U9" s="78">
        <v>2924527</v>
      </c>
      <c r="V9" s="78">
        <v>296410</v>
      </c>
      <c r="W9" s="135">
        <f t="shared" si="19"/>
        <v>9.2026016031980754E-2</v>
      </c>
    </row>
    <row r="10" spans="1:220" s="9" customFormat="1">
      <c r="A10" s="10">
        <v>2015</v>
      </c>
      <c r="B10" s="54">
        <v>16</v>
      </c>
      <c r="C10" s="54">
        <v>1.7</v>
      </c>
      <c r="D10" s="19">
        <v>17.7</v>
      </c>
      <c r="E10" s="19">
        <v>21.4</v>
      </c>
      <c r="F10" s="19">
        <v>19.3</v>
      </c>
      <c r="G10" s="83"/>
      <c r="H10" s="83"/>
      <c r="I10" s="54">
        <v>192</v>
      </c>
      <c r="J10" s="54">
        <v>74</v>
      </c>
      <c r="K10" s="19">
        <v>266</v>
      </c>
      <c r="L10" s="54">
        <v>10</v>
      </c>
      <c r="M10" s="19">
        <v>202</v>
      </c>
      <c r="N10" s="19" t="s">
        <v>40</v>
      </c>
      <c r="O10" s="54">
        <v>342</v>
      </c>
      <c r="P10" s="133">
        <f t="shared" si="18"/>
        <v>0.59064327485380119</v>
      </c>
      <c r="Q10" s="54">
        <v>134</v>
      </c>
      <c r="R10" s="54">
        <v>131</v>
      </c>
      <c r="S10" s="78">
        <v>3184413</v>
      </c>
      <c r="T10" s="79">
        <v>3373739</v>
      </c>
      <c r="U10" s="78">
        <v>3072492</v>
      </c>
      <c r="V10" s="78">
        <v>301247</v>
      </c>
      <c r="W10" s="135">
        <f t="shared" si="19"/>
        <v>8.9291732407278696E-2</v>
      </c>
    </row>
    <row r="11" spans="1:220" s="16" customFormat="1">
      <c r="A11" s="15">
        <v>2014</v>
      </c>
      <c r="B11" s="70">
        <v>16</v>
      </c>
      <c r="C11" s="70">
        <v>0</v>
      </c>
      <c r="D11" s="65">
        <f>B11+C11</f>
        <v>16</v>
      </c>
      <c r="E11" s="13">
        <f t="shared" ref="E11:E23" si="20">ROUND((O11/B11), 0)</f>
        <v>26</v>
      </c>
      <c r="F11" s="13">
        <f t="shared" ref="F11:F23" si="21">ROUND((O11/D11), 0)</f>
        <v>26</v>
      </c>
      <c r="G11" s="83"/>
      <c r="H11" s="83"/>
      <c r="I11" s="70">
        <v>186</v>
      </c>
      <c r="J11" s="70">
        <v>77</v>
      </c>
      <c r="K11" s="65">
        <f>I11+J11</f>
        <v>263</v>
      </c>
      <c r="L11" s="70">
        <v>38.25</v>
      </c>
      <c r="M11" s="13">
        <f>I11+L11</f>
        <v>224.25</v>
      </c>
      <c r="N11" s="19" t="s">
        <v>40</v>
      </c>
      <c r="O11" s="70">
        <v>409</v>
      </c>
      <c r="P11" s="133">
        <f t="shared" si="18"/>
        <v>0.54828850855745725</v>
      </c>
      <c r="Q11" s="70">
        <v>68</v>
      </c>
      <c r="R11" s="70">
        <v>133</v>
      </c>
      <c r="S11" s="71">
        <v>3210173</v>
      </c>
      <c r="T11" s="68">
        <f t="shared" ref="T11:T23" si="22">SUM(U11:V11)</f>
        <v>3096215</v>
      </c>
      <c r="U11" s="71">
        <v>3063421</v>
      </c>
      <c r="V11" s="71">
        <v>32794</v>
      </c>
      <c r="W11" s="135">
        <f t="shared" si="19"/>
        <v>1.0591641730306196E-2</v>
      </c>
    </row>
    <row r="12" spans="1:220">
      <c r="A12" s="15">
        <v>2013</v>
      </c>
      <c r="B12" s="528">
        <v>16</v>
      </c>
      <c r="C12" s="528">
        <v>2.2000000000000002</v>
      </c>
      <c r="D12" s="23">
        <f>B12+C12</f>
        <v>18.2</v>
      </c>
      <c r="E12" s="82">
        <f t="shared" si="20"/>
        <v>26</v>
      </c>
      <c r="F12" s="82">
        <f t="shared" si="21"/>
        <v>23</v>
      </c>
      <c r="G12" s="85"/>
      <c r="H12" s="85"/>
      <c r="I12" s="528">
        <v>203</v>
      </c>
      <c r="J12" s="528">
        <v>86</v>
      </c>
      <c r="K12" s="23">
        <f>I12+J12</f>
        <v>289</v>
      </c>
      <c r="L12" s="528">
        <v>44.75</v>
      </c>
      <c r="M12" s="82">
        <f>I12+L12</f>
        <v>247.75</v>
      </c>
      <c r="N12" s="19" t="s">
        <v>40</v>
      </c>
      <c r="O12" s="528">
        <v>415.75</v>
      </c>
      <c r="P12" s="133">
        <f t="shared" si="18"/>
        <v>0.59591100420926035</v>
      </c>
      <c r="Q12" s="528">
        <v>110</v>
      </c>
      <c r="R12" s="528">
        <v>157</v>
      </c>
      <c r="S12" s="84">
        <v>3422870</v>
      </c>
      <c r="T12" s="24">
        <f t="shared" si="22"/>
        <v>3401694</v>
      </c>
      <c r="U12" s="84">
        <v>3051804</v>
      </c>
      <c r="V12" s="84">
        <v>349890</v>
      </c>
      <c r="W12" s="135">
        <f t="shared" si="19"/>
        <v>0.1028575762546543</v>
      </c>
    </row>
    <row r="13" spans="1:220">
      <c r="A13" s="15">
        <v>2012</v>
      </c>
      <c r="B13" s="528">
        <v>15</v>
      </c>
      <c r="C13" s="528">
        <v>1.4</v>
      </c>
      <c r="D13" s="23">
        <f>B13+C13</f>
        <v>16.399999999999999</v>
      </c>
      <c r="E13" s="82">
        <f t="shared" si="20"/>
        <v>17</v>
      </c>
      <c r="F13" s="82">
        <f t="shared" si="21"/>
        <v>16</v>
      </c>
      <c r="G13" s="85"/>
      <c r="H13" s="85"/>
      <c r="I13" s="528">
        <v>194</v>
      </c>
      <c r="J13" s="528">
        <v>90</v>
      </c>
      <c r="K13" s="23">
        <f>I13+J13</f>
        <v>284</v>
      </c>
      <c r="L13" s="528">
        <v>47.5</v>
      </c>
      <c r="M13" s="82">
        <f>I13+L13</f>
        <v>241.5</v>
      </c>
      <c r="N13" s="19" t="s">
        <v>40</v>
      </c>
      <c r="O13" s="528">
        <v>256.5</v>
      </c>
      <c r="P13" s="133">
        <f t="shared" si="18"/>
        <v>0.94152046783625731</v>
      </c>
      <c r="Q13" s="528">
        <v>68</v>
      </c>
      <c r="R13" s="528">
        <v>76</v>
      </c>
      <c r="S13" s="84">
        <v>3246046</v>
      </c>
      <c r="T13" s="24">
        <f t="shared" si="22"/>
        <v>3280515</v>
      </c>
      <c r="U13" s="84">
        <v>2976747</v>
      </c>
      <c r="V13" s="84">
        <v>303768</v>
      </c>
      <c r="W13" s="135">
        <f t="shared" si="19"/>
        <v>9.2597656160694278E-2</v>
      </c>
    </row>
    <row r="14" spans="1:220">
      <c r="A14" s="15" t="s">
        <v>26</v>
      </c>
      <c r="B14" s="528">
        <v>15</v>
      </c>
      <c r="C14" s="528">
        <v>1.2</v>
      </c>
      <c r="D14" s="23">
        <f t="shared" ref="D14:D23" si="23">SUM(B14:C14)</f>
        <v>16.2</v>
      </c>
      <c r="E14" s="82">
        <f t="shared" si="20"/>
        <v>29</v>
      </c>
      <c r="F14" s="82">
        <f t="shared" si="21"/>
        <v>27</v>
      </c>
      <c r="G14" s="85"/>
      <c r="H14" s="85"/>
      <c r="I14" s="528">
        <v>192</v>
      </c>
      <c r="J14" s="528">
        <v>64</v>
      </c>
      <c r="K14" s="23">
        <f t="shared" ref="K14:K23" si="24">SUM(I14:J14)</f>
        <v>256</v>
      </c>
      <c r="L14" s="528">
        <v>31</v>
      </c>
      <c r="M14" s="82">
        <f t="shared" ref="M14:M23" si="25">(I14+L14)</f>
        <v>223</v>
      </c>
      <c r="N14" s="19" t="s">
        <v>40</v>
      </c>
      <c r="O14" s="528">
        <v>441.5</v>
      </c>
      <c r="P14" s="133">
        <f t="shared" si="18"/>
        <v>0.50509626274065689</v>
      </c>
      <c r="Q14" s="528">
        <v>67</v>
      </c>
      <c r="R14" s="528">
        <v>1</v>
      </c>
      <c r="S14" s="84">
        <v>3066626</v>
      </c>
      <c r="T14" s="24">
        <f t="shared" si="22"/>
        <v>2889557</v>
      </c>
      <c r="U14" s="84">
        <v>2656054</v>
      </c>
      <c r="V14" s="84">
        <v>233503</v>
      </c>
      <c r="W14" s="135">
        <f t="shared" si="19"/>
        <v>8.0809272840092788E-2</v>
      </c>
    </row>
    <row r="15" spans="1:220">
      <c r="A15" s="15" t="s">
        <v>27</v>
      </c>
      <c r="B15" s="528">
        <v>15</v>
      </c>
      <c r="C15" s="528">
        <v>1.9</v>
      </c>
      <c r="D15" s="23">
        <f t="shared" si="23"/>
        <v>16.899999999999999</v>
      </c>
      <c r="E15" s="82">
        <f t="shared" si="20"/>
        <v>26</v>
      </c>
      <c r="F15" s="82">
        <f t="shared" si="21"/>
        <v>24</v>
      </c>
      <c r="G15" s="85"/>
      <c r="H15" s="85"/>
      <c r="I15" s="528">
        <v>184</v>
      </c>
      <c r="J15" s="528">
        <v>64</v>
      </c>
      <c r="K15" s="23">
        <f t="shared" si="24"/>
        <v>248</v>
      </c>
      <c r="L15" s="528">
        <v>31.75</v>
      </c>
      <c r="M15" s="82">
        <f t="shared" si="25"/>
        <v>215.75</v>
      </c>
      <c r="N15" s="19" t="s">
        <v>40</v>
      </c>
      <c r="O15" s="528">
        <v>397.25</v>
      </c>
      <c r="P15" s="133">
        <f t="shared" si="18"/>
        <v>0.54310887350534931</v>
      </c>
      <c r="Q15" s="528">
        <v>101</v>
      </c>
      <c r="R15" s="528">
        <v>1</v>
      </c>
      <c r="S15" s="84">
        <v>2808383.96</v>
      </c>
      <c r="T15" s="24">
        <f t="shared" si="22"/>
        <v>2901766</v>
      </c>
      <c r="U15" s="84">
        <v>2628316</v>
      </c>
      <c r="V15" s="84">
        <v>273450</v>
      </c>
      <c r="W15" s="135">
        <f t="shared" si="19"/>
        <v>9.4235717146041412E-2</v>
      </c>
    </row>
    <row r="16" spans="1:220">
      <c r="A16" s="15" t="s">
        <v>28</v>
      </c>
      <c r="B16" s="528">
        <v>15</v>
      </c>
      <c r="C16" s="528">
        <v>3.75</v>
      </c>
      <c r="D16" s="23">
        <f t="shared" si="23"/>
        <v>18.75</v>
      </c>
      <c r="E16" s="82">
        <f t="shared" si="20"/>
        <v>25</v>
      </c>
      <c r="F16" s="82">
        <f t="shared" si="21"/>
        <v>20</v>
      </c>
      <c r="G16" s="85"/>
      <c r="H16" s="85"/>
      <c r="I16" s="528">
        <v>184</v>
      </c>
      <c r="J16" s="528">
        <v>55</v>
      </c>
      <c r="K16" s="23">
        <f t="shared" si="24"/>
        <v>239</v>
      </c>
      <c r="L16" s="528">
        <v>28.5</v>
      </c>
      <c r="M16" s="82">
        <f t="shared" si="25"/>
        <v>212.5</v>
      </c>
      <c r="N16" s="19" t="s">
        <v>40</v>
      </c>
      <c r="O16" s="528">
        <v>382.25</v>
      </c>
      <c r="P16" s="133">
        <f t="shared" si="18"/>
        <v>0.5559189012426422</v>
      </c>
      <c r="Q16" s="528">
        <v>35</v>
      </c>
      <c r="R16" s="528">
        <v>2</v>
      </c>
      <c r="S16" s="84">
        <v>2835764.05</v>
      </c>
      <c r="T16" s="24">
        <f t="shared" si="22"/>
        <v>2781554.87</v>
      </c>
      <c r="U16" s="84">
        <v>2555679.87</v>
      </c>
      <c r="V16" s="84">
        <v>225875</v>
      </c>
      <c r="W16" s="135">
        <f t="shared" si="19"/>
        <v>8.1204581810029153E-2</v>
      </c>
    </row>
    <row r="17" spans="1:23">
      <c r="A17" s="15" t="s">
        <v>29</v>
      </c>
      <c r="B17" s="528">
        <v>15</v>
      </c>
      <c r="C17" s="528">
        <v>4</v>
      </c>
      <c r="D17" s="23">
        <f t="shared" si="23"/>
        <v>19</v>
      </c>
      <c r="E17" s="82">
        <f t="shared" si="20"/>
        <v>21</v>
      </c>
      <c r="F17" s="82">
        <f t="shared" si="21"/>
        <v>17</v>
      </c>
      <c r="G17" s="85"/>
      <c r="H17" s="85"/>
      <c r="I17" s="528">
        <v>147</v>
      </c>
      <c r="J17" s="528">
        <v>39</v>
      </c>
      <c r="K17" s="23">
        <f t="shared" si="24"/>
        <v>186</v>
      </c>
      <c r="L17" s="528">
        <v>21</v>
      </c>
      <c r="M17" s="82">
        <f t="shared" si="25"/>
        <v>168</v>
      </c>
      <c r="N17" s="19" t="s">
        <v>40</v>
      </c>
      <c r="O17" s="528">
        <v>314</v>
      </c>
      <c r="P17" s="133">
        <f t="shared" si="18"/>
        <v>0.53503184713375795</v>
      </c>
      <c r="Q17" s="528">
        <v>68</v>
      </c>
      <c r="R17" s="528">
        <v>0</v>
      </c>
      <c r="S17" s="84">
        <v>2678468.7999999998</v>
      </c>
      <c r="T17" s="24">
        <f t="shared" si="22"/>
        <v>2604358</v>
      </c>
      <c r="U17" s="84">
        <v>2320777</v>
      </c>
      <c r="V17" s="84">
        <v>283581</v>
      </c>
      <c r="W17" s="135">
        <f t="shared" si="19"/>
        <v>0.10888710384670618</v>
      </c>
    </row>
    <row r="18" spans="1:23">
      <c r="A18" s="15">
        <v>2007</v>
      </c>
      <c r="B18" s="528">
        <v>9</v>
      </c>
      <c r="C18" s="528">
        <v>4.25</v>
      </c>
      <c r="D18" s="23">
        <f t="shared" si="23"/>
        <v>13.25</v>
      </c>
      <c r="E18" s="82">
        <f t="shared" si="20"/>
        <v>16</v>
      </c>
      <c r="F18" s="82">
        <f t="shared" si="21"/>
        <v>11</v>
      </c>
      <c r="G18" s="85"/>
      <c r="H18" s="85"/>
      <c r="I18" s="528">
        <v>132</v>
      </c>
      <c r="J18" s="528">
        <v>28</v>
      </c>
      <c r="K18" s="23">
        <f t="shared" si="24"/>
        <v>160</v>
      </c>
      <c r="L18" s="528">
        <v>7</v>
      </c>
      <c r="M18" s="82">
        <f t="shared" si="25"/>
        <v>139</v>
      </c>
      <c r="N18" s="19" t="s">
        <v>40</v>
      </c>
      <c r="O18" s="528">
        <v>142</v>
      </c>
      <c r="P18" s="133">
        <f t="shared" si="18"/>
        <v>0.97887323943661975</v>
      </c>
      <c r="Q18" s="528">
        <v>75</v>
      </c>
      <c r="R18" s="528">
        <v>2</v>
      </c>
      <c r="S18" s="132">
        <v>2762299</v>
      </c>
      <c r="T18" s="24">
        <f t="shared" si="22"/>
        <v>2624318</v>
      </c>
      <c r="U18" s="132">
        <v>2364615</v>
      </c>
      <c r="V18" s="132">
        <v>259703</v>
      </c>
      <c r="W18" s="135">
        <f t="shared" si="19"/>
        <v>9.8960186989534044E-2</v>
      </c>
    </row>
    <row r="19" spans="1:23">
      <c r="A19" s="15">
        <v>2006</v>
      </c>
      <c r="B19" s="528">
        <v>11</v>
      </c>
      <c r="C19" s="528">
        <v>3.5</v>
      </c>
      <c r="D19" s="23">
        <f t="shared" si="23"/>
        <v>14.5</v>
      </c>
      <c r="E19" s="82">
        <f t="shared" si="20"/>
        <v>13</v>
      </c>
      <c r="F19" s="82">
        <f t="shared" si="21"/>
        <v>10</v>
      </c>
      <c r="G19" s="85"/>
      <c r="H19" s="85"/>
      <c r="I19" s="528">
        <v>139</v>
      </c>
      <c r="J19" s="528">
        <v>31</v>
      </c>
      <c r="K19" s="23">
        <f t="shared" si="24"/>
        <v>170</v>
      </c>
      <c r="L19" s="528">
        <v>8</v>
      </c>
      <c r="M19" s="82">
        <f t="shared" si="25"/>
        <v>147</v>
      </c>
      <c r="N19" s="19" t="s">
        <v>40</v>
      </c>
      <c r="O19" s="528">
        <v>147</v>
      </c>
      <c r="P19" s="133">
        <f t="shared" si="18"/>
        <v>1</v>
      </c>
      <c r="Q19" s="528">
        <v>82</v>
      </c>
      <c r="R19" s="528"/>
      <c r="S19" s="132">
        <v>2890450</v>
      </c>
      <c r="T19" s="24">
        <f t="shared" si="22"/>
        <v>2859305</v>
      </c>
      <c r="U19" s="132">
        <v>2494601</v>
      </c>
      <c r="V19" s="132">
        <v>364704</v>
      </c>
      <c r="W19" s="135">
        <f t="shared" si="19"/>
        <v>0.12754987663085959</v>
      </c>
    </row>
    <row r="20" spans="1:23">
      <c r="A20" s="15">
        <v>2005</v>
      </c>
      <c r="B20" s="528">
        <v>14</v>
      </c>
      <c r="C20" s="528">
        <v>4</v>
      </c>
      <c r="D20" s="23">
        <f t="shared" si="23"/>
        <v>18</v>
      </c>
      <c r="E20" s="82">
        <f t="shared" si="20"/>
        <v>11</v>
      </c>
      <c r="F20" s="82">
        <f t="shared" si="21"/>
        <v>8</v>
      </c>
      <c r="G20" s="85"/>
      <c r="H20" s="85"/>
      <c r="I20" s="528">
        <v>146</v>
      </c>
      <c r="J20" s="528">
        <v>12</v>
      </c>
      <c r="K20" s="23">
        <f t="shared" si="24"/>
        <v>158</v>
      </c>
      <c r="L20" s="528">
        <v>3</v>
      </c>
      <c r="M20" s="82">
        <f t="shared" si="25"/>
        <v>149</v>
      </c>
      <c r="N20" s="19" t="s">
        <v>40</v>
      </c>
      <c r="O20" s="528">
        <v>151</v>
      </c>
      <c r="P20" s="133">
        <f t="shared" si="18"/>
        <v>0.98675496688741726</v>
      </c>
      <c r="Q20" s="528">
        <v>75</v>
      </c>
      <c r="R20" s="528">
        <v>1</v>
      </c>
      <c r="S20" s="132">
        <v>2803246</v>
      </c>
      <c r="T20" s="24">
        <f t="shared" si="22"/>
        <v>2728106</v>
      </c>
      <c r="U20" s="132">
        <v>2557040</v>
      </c>
      <c r="V20" s="132">
        <v>171066</v>
      </c>
      <c r="W20" s="135">
        <f t="shared" si="19"/>
        <v>6.2705041519647703E-2</v>
      </c>
    </row>
    <row r="21" spans="1:23">
      <c r="A21" s="15">
        <v>2004</v>
      </c>
      <c r="B21" s="528">
        <v>13</v>
      </c>
      <c r="C21" s="528">
        <v>4</v>
      </c>
      <c r="D21" s="23">
        <f t="shared" si="23"/>
        <v>17</v>
      </c>
      <c r="E21" s="82">
        <f t="shared" si="20"/>
        <v>13</v>
      </c>
      <c r="F21" s="82">
        <f t="shared" si="21"/>
        <v>10</v>
      </c>
      <c r="G21" s="85"/>
      <c r="H21" s="85"/>
      <c r="I21" s="528">
        <v>155</v>
      </c>
      <c r="J21" s="528">
        <v>18</v>
      </c>
      <c r="K21" s="23">
        <f t="shared" si="24"/>
        <v>173</v>
      </c>
      <c r="L21" s="528">
        <v>4.5</v>
      </c>
      <c r="M21" s="82">
        <f t="shared" si="25"/>
        <v>159.5</v>
      </c>
      <c r="N21" s="19" t="s">
        <v>40</v>
      </c>
      <c r="O21" s="528">
        <v>171</v>
      </c>
      <c r="P21" s="133">
        <f t="shared" si="18"/>
        <v>0.93274853801169588</v>
      </c>
      <c r="Q21" s="528">
        <v>62</v>
      </c>
      <c r="R21" s="528">
        <v>1</v>
      </c>
      <c r="S21" s="132">
        <v>2857263</v>
      </c>
      <c r="T21" s="24">
        <f t="shared" si="22"/>
        <v>2910840</v>
      </c>
      <c r="U21" s="132">
        <v>2338895</v>
      </c>
      <c r="V21" s="132">
        <v>571945</v>
      </c>
      <c r="W21" s="135">
        <f t="shared" si="19"/>
        <v>0.19648795536683569</v>
      </c>
    </row>
    <row r="22" spans="1:23">
      <c r="A22" s="15">
        <v>2003</v>
      </c>
      <c r="B22" s="528">
        <v>14</v>
      </c>
      <c r="C22" s="528">
        <v>3</v>
      </c>
      <c r="D22" s="23">
        <f t="shared" si="23"/>
        <v>17</v>
      </c>
      <c r="E22" s="82">
        <f t="shared" si="20"/>
        <v>16</v>
      </c>
      <c r="F22" s="82">
        <f t="shared" si="21"/>
        <v>13</v>
      </c>
      <c r="G22" s="85"/>
      <c r="H22" s="85"/>
      <c r="I22" s="528">
        <v>150</v>
      </c>
      <c r="J22" s="528">
        <v>16</v>
      </c>
      <c r="K22" s="23">
        <f t="shared" si="24"/>
        <v>166</v>
      </c>
      <c r="L22" s="528">
        <v>4</v>
      </c>
      <c r="M22" s="82">
        <f t="shared" si="25"/>
        <v>154</v>
      </c>
      <c r="N22" s="19" t="s">
        <v>40</v>
      </c>
      <c r="O22" s="528">
        <v>223</v>
      </c>
      <c r="P22" s="133">
        <f t="shared" si="18"/>
        <v>0.6905829596412556</v>
      </c>
      <c r="Q22" s="528">
        <v>67</v>
      </c>
      <c r="R22" s="528">
        <v>0</v>
      </c>
      <c r="S22" s="132">
        <v>2392429</v>
      </c>
      <c r="T22" s="24">
        <f t="shared" si="22"/>
        <v>2247986</v>
      </c>
      <c r="U22" s="132">
        <v>1828769</v>
      </c>
      <c r="V22" s="132">
        <v>419217</v>
      </c>
      <c r="W22" s="135">
        <f t="shared" si="19"/>
        <v>0.18648559199212095</v>
      </c>
    </row>
    <row r="23" spans="1:23">
      <c r="A23" s="15">
        <v>2002</v>
      </c>
      <c r="B23" s="528">
        <v>13</v>
      </c>
      <c r="C23" s="528">
        <f>ROUND(4.25, 0)</f>
        <v>4</v>
      </c>
      <c r="D23" s="23">
        <f t="shared" si="23"/>
        <v>17</v>
      </c>
      <c r="E23" s="82">
        <f t="shared" si="20"/>
        <v>16</v>
      </c>
      <c r="F23" s="82">
        <f t="shared" si="21"/>
        <v>13</v>
      </c>
      <c r="G23" s="85"/>
      <c r="H23" s="85"/>
      <c r="I23" s="528">
        <v>140</v>
      </c>
      <c r="J23" s="528">
        <v>8</v>
      </c>
      <c r="K23" s="23">
        <f t="shared" si="24"/>
        <v>148</v>
      </c>
      <c r="L23" s="528">
        <v>3</v>
      </c>
      <c r="M23" s="82">
        <f t="shared" si="25"/>
        <v>143</v>
      </c>
      <c r="N23" s="19" t="s">
        <v>40</v>
      </c>
      <c r="O23" s="528">
        <v>213</v>
      </c>
      <c r="P23" s="133">
        <f t="shared" si="18"/>
        <v>0.67136150234741787</v>
      </c>
      <c r="Q23" s="528">
        <v>58</v>
      </c>
      <c r="R23" s="528">
        <v>0</v>
      </c>
      <c r="S23" s="132">
        <v>2087113</v>
      </c>
      <c r="T23" s="24">
        <f t="shared" si="22"/>
        <v>2062010</v>
      </c>
      <c r="U23" s="132">
        <v>1666200</v>
      </c>
      <c r="V23" s="132">
        <v>395810</v>
      </c>
      <c r="W23" s="135">
        <f t="shared" si="19"/>
        <v>0.19195348228185119</v>
      </c>
    </row>
    <row r="24" spans="1:23" s="12" customFormat="1">
      <c r="A24" s="30"/>
      <c r="G24"/>
      <c r="H24"/>
      <c r="R24" s="558" t="s">
        <v>145</v>
      </c>
      <c r="S24" s="557"/>
      <c r="T24" s="557"/>
      <c r="U24" s="557"/>
      <c r="V24" s="557"/>
      <c r="W24" s="538"/>
    </row>
    <row r="25" spans="1:23" s="12" customFormat="1">
      <c r="G25"/>
      <c r="H25"/>
    </row>
    <row r="26" spans="1:23" s="12" customFormat="1">
      <c r="G26"/>
      <c r="H26"/>
    </row>
    <row r="27" spans="1:23" s="12" customFormat="1">
      <c r="G27"/>
      <c r="H27"/>
    </row>
    <row r="28" spans="1:23" s="12" customFormat="1">
      <c r="G28"/>
      <c r="H28"/>
    </row>
    <row r="29" spans="1:23" s="12" customFormat="1">
      <c r="G29"/>
      <c r="H29"/>
    </row>
    <row r="30" spans="1:23" s="12" customFormat="1">
      <c r="G30"/>
      <c r="H30"/>
    </row>
    <row r="31" spans="1:23" s="12" customFormat="1">
      <c r="G31"/>
      <c r="H31"/>
    </row>
    <row r="32" spans="1:23" s="12" customFormat="1">
      <c r="G32"/>
      <c r="H32"/>
    </row>
    <row r="33" spans="7:8" s="12" customFormat="1">
      <c r="G33"/>
      <c r="H33"/>
    </row>
    <row r="34" spans="7:8" s="12" customFormat="1">
      <c r="G34"/>
      <c r="H34"/>
    </row>
  </sheetData>
  <mergeCells count="1">
    <mergeCell ref="R24:W24"/>
  </mergeCells>
  <printOptions headings="1" gridLines="1"/>
  <pageMargins left="0.5" right="0.5" top="0.5" bottom="0.5" header="0" footer="0"/>
  <pageSetup paperSize="5" scale="67" orientation="landscape"/>
  <legacyDrawing r:id="rId1"/>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HL34"/>
  <sheetViews>
    <sheetView workbookViewId="0">
      <selection activeCell="E24" sqref="E24"/>
    </sheetView>
  </sheetViews>
  <sheetFormatPr defaultColWidth="8.85546875" defaultRowHeight="15"/>
  <cols>
    <col min="1" max="1" width="9.425781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0.85546875" bestFit="1" customWidth="1"/>
    <col min="23" max="23" width="12.85546875" bestFit="1" customWidth="1"/>
  </cols>
  <sheetData>
    <row r="1" spans="1:220" s="7" customFormat="1" ht="20.25" customHeight="1">
      <c r="A1" s="1" t="s">
        <v>146</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c r="A3" s="105">
        <v>2022</v>
      </c>
      <c r="B3" s="447">
        <v>9</v>
      </c>
      <c r="C3" s="16">
        <v>7</v>
      </c>
      <c r="D3" s="106">
        <f t="shared" ref="D3" si="0">SUM(B3:C3)</f>
        <v>16</v>
      </c>
      <c r="E3" s="106">
        <f t="shared" ref="E3" si="1">ROUND((O3/B3), 0)</f>
        <v>20</v>
      </c>
      <c r="F3" s="106">
        <f t="shared" ref="F3" si="2">ROUND((O3/D3), 0)</f>
        <v>11</v>
      </c>
      <c r="G3" s="106">
        <v>5</v>
      </c>
      <c r="H3" s="301">
        <v>5</v>
      </c>
      <c r="I3" s="17">
        <v>58</v>
      </c>
      <c r="J3" s="17">
        <v>106</v>
      </c>
      <c r="K3" s="23">
        <f t="shared" ref="K3" si="3">SUM(I3:J3)</f>
        <v>164</v>
      </c>
      <c r="L3" s="80">
        <v>71.25</v>
      </c>
      <c r="M3" s="82">
        <f>(I3+L3)</f>
        <v>129.25</v>
      </c>
      <c r="N3" s="80">
        <v>73</v>
      </c>
      <c r="O3" s="80">
        <v>180.75</v>
      </c>
      <c r="P3" s="133">
        <f>M3/O3</f>
        <v>0.71507607192254496</v>
      </c>
      <c r="Q3" s="16">
        <v>87</v>
      </c>
      <c r="R3" s="16">
        <v>30</v>
      </c>
      <c r="S3" s="304">
        <v>1550295</v>
      </c>
      <c r="T3" s="297">
        <f>S3</f>
        <v>1550295</v>
      </c>
      <c r="U3" s="448">
        <f>T3-V3</f>
        <v>1542232</v>
      </c>
      <c r="V3" s="448">
        <v>8063</v>
      </c>
      <c r="W3" s="135">
        <f>V3/T3</f>
        <v>5.2009456264775411E-3</v>
      </c>
    </row>
    <row r="4" spans="1:220">
      <c r="A4" s="105">
        <v>2021</v>
      </c>
      <c r="B4" s="447">
        <v>9</v>
      </c>
      <c r="C4" s="16">
        <v>7</v>
      </c>
      <c r="D4" s="106">
        <f>SUM(B4:C4)</f>
        <v>16</v>
      </c>
      <c r="E4" s="106">
        <f t="shared" ref="E4" si="4">ROUND((O4/B4), 0)</f>
        <v>24</v>
      </c>
      <c r="F4" s="106">
        <f t="shared" ref="F4" si="5">ROUND((O4/D4), 0)</f>
        <v>13</v>
      </c>
      <c r="G4" s="106">
        <v>5</v>
      </c>
      <c r="H4" s="301">
        <v>5</v>
      </c>
      <c r="I4" s="17">
        <v>59</v>
      </c>
      <c r="J4" s="17">
        <v>119</v>
      </c>
      <c r="K4" s="23">
        <f t="shared" ref="K4" si="6">SUM(I4:J4)</f>
        <v>178</v>
      </c>
      <c r="L4" s="80">
        <v>82.1</v>
      </c>
      <c r="M4" s="82">
        <f>(I4+L4)</f>
        <v>141.1</v>
      </c>
      <c r="N4" s="80">
        <v>76</v>
      </c>
      <c r="O4" s="80">
        <v>214.9</v>
      </c>
      <c r="P4" s="133">
        <f>M4/O4</f>
        <v>0.65658445788738939</v>
      </c>
      <c r="Q4" s="16">
        <v>89</v>
      </c>
      <c r="R4" s="16">
        <v>43</v>
      </c>
      <c r="S4" s="304">
        <v>1394706</v>
      </c>
      <c r="T4" s="297">
        <f>S4</f>
        <v>1394706</v>
      </c>
      <c r="U4" s="448">
        <f>T4-V4</f>
        <v>1386933</v>
      </c>
      <c r="V4" s="448">
        <v>7773</v>
      </c>
      <c r="W4" s="135">
        <f>V4/T4</f>
        <v>5.573217581339723E-3</v>
      </c>
    </row>
    <row r="5" spans="1:220">
      <c r="A5" s="105">
        <v>2020</v>
      </c>
      <c r="B5" s="449">
        <v>10</v>
      </c>
      <c r="C5" s="450">
        <v>7</v>
      </c>
      <c r="D5" s="106">
        <f>SUM(B5:C5)</f>
        <v>17</v>
      </c>
      <c r="E5" s="106">
        <f>ROUND((O5/B5), 0)</f>
        <v>28</v>
      </c>
      <c r="F5" s="106">
        <f>ROUND((O5/D5), 0)</f>
        <v>16</v>
      </c>
      <c r="G5" s="106">
        <v>6</v>
      </c>
      <c r="H5" s="451">
        <v>5</v>
      </c>
      <c r="I5" s="17">
        <v>80</v>
      </c>
      <c r="J5" s="17">
        <v>147</v>
      </c>
      <c r="K5" s="23">
        <f t="shared" ref="K5" si="7">SUM(I5:J5)</f>
        <v>227</v>
      </c>
      <c r="L5" s="80">
        <v>104.25</v>
      </c>
      <c r="M5" s="82">
        <f>(I5+L5)</f>
        <v>184.25</v>
      </c>
      <c r="N5" s="80">
        <v>133</v>
      </c>
      <c r="O5" s="80">
        <v>278</v>
      </c>
      <c r="P5" s="133">
        <f>M5/O5</f>
        <v>0.66276978417266186</v>
      </c>
      <c r="Q5" s="16">
        <v>39</v>
      </c>
      <c r="R5" s="16">
        <v>26</v>
      </c>
      <c r="S5" s="304">
        <v>1330967.1199999999</v>
      </c>
      <c r="T5" s="297">
        <f>S5</f>
        <v>1330967.1199999999</v>
      </c>
      <c r="U5" s="448">
        <f>T5-V5</f>
        <v>1320068.5999999999</v>
      </c>
      <c r="V5" s="448">
        <v>10898.52</v>
      </c>
      <c r="W5" s="135">
        <f>V5/T5</f>
        <v>8.188421664390929E-3</v>
      </c>
    </row>
    <row r="6" spans="1:220">
      <c r="A6" s="105">
        <v>2019</v>
      </c>
      <c r="B6" s="449">
        <v>9</v>
      </c>
      <c r="C6" s="16">
        <v>6.5</v>
      </c>
      <c r="D6" s="106">
        <f>SUM(B6:C6)</f>
        <v>15.5</v>
      </c>
      <c r="E6" s="106">
        <f>ROUND((O6/B6), 0)</f>
        <v>28</v>
      </c>
      <c r="F6" s="106">
        <f>ROUND((O6/D6), 0)</f>
        <v>16</v>
      </c>
      <c r="G6" s="106">
        <v>6</v>
      </c>
      <c r="H6" s="452">
        <v>5</v>
      </c>
      <c r="I6" s="17">
        <v>67</v>
      </c>
      <c r="J6" s="17">
        <v>130</v>
      </c>
      <c r="K6" s="106">
        <v>197</v>
      </c>
      <c r="L6" s="80">
        <v>90</v>
      </c>
      <c r="M6" s="106">
        <v>157</v>
      </c>
      <c r="N6" s="80">
        <v>95</v>
      </c>
      <c r="O6" s="80">
        <v>251.25</v>
      </c>
      <c r="P6" s="303">
        <f>M6/O6</f>
        <v>0.62487562189054724</v>
      </c>
      <c r="Q6" s="16">
        <v>28</v>
      </c>
      <c r="R6" s="16">
        <v>29</v>
      </c>
      <c r="S6" s="304">
        <v>1284395</v>
      </c>
      <c r="T6" s="297">
        <v>1284395</v>
      </c>
      <c r="U6" s="448">
        <f>T6-V6</f>
        <v>1279082</v>
      </c>
      <c r="V6" s="448">
        <f>5170+143</f>
        <v>5313</v>
      </c>
      <c r="W6" s="135">
        <f>V6/T6</f>
        <v>4.1365779219009729E-3</v>
      </c>
    </row>
    <row r="7" spans="1:220" s="14" customFormat="1">
      <c r="A7" s="10">
        <v>2018</v>
      </c>
      <c r="B7" s="17">
        <v>8</v>
      </c>
      <c r="C7" s="17">
        <v>5.5</v>
      </c>
      <c r="D7" s="23">
        <f>SUM(B7:C7)</f>
        <v>13.5</v>
      </c>
      <c r="E7" s="82">
        <f>ROUND((O7/B7), 0)</f>
        <v>17</v>
      </c>
      <c r="F7" s="82">
        <f>ROUND((O7/D7), 0)</f>
        <v>10</v>
      </c>
      <c r="G7" s="284">
        <v>9</v>
      </c>
      <c r="H7" s="284">
        <v>4</v>
      </c>
      <c r="I7" s="17">
        <v>32</v>
      </c>
      <c r="J7" s="17">
        <v>59</v>
      </c>
      <c r="K7" s="23">
        <f t="shared" ref="K7" si="8">SUM(I7:J7)</f>
        <v>91</v>
      </c>
      <c r="L7" s="17">
        <v>40.75</v>
      </c>
      <c r="M7" s="82">
        <f>(I7+L7)</f>
        <v>72.75</v>
      </c>
      <c r="N7" s="17">
        <v>49</v>
      </c>
      <c r="O7" s="17">
        <v>135</v>
      </c>
      <c r="P7" s="133">
        <f>M7/O7</f>
        <v>0.53888888888888886</v>
      </c>
      <c r="Q7" s="17">
        <v>39</v>
      </c>
      <c r="R7" s="17">
        <v>22</v>
      </c>
      <c r="S7" s="20">
        <v>1331613.1200000001</v>
      </c>
      <c r="T7" s="24">
        <f>SUM(U7:V7)</f>
        <v>1331613.1200000001</v>
      </c>
      <c r="U7" s="20">
        <v>1282536</v>
      </c>
      <c r="V7" s="20">
        <v>49077.120000000003</v>
      </c>
      <c r="W7" s="135">
        <f>V7/T7</f>
        <v>3.6855389349122664E-2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8</v>
      </c>
      <c r="C8" s="17">
        <v>4.05</v>
      </c>
      <c r="D8" s="27">
        <f>SUM(B8:C8)</f>
        <v>12.05</v>
      </c>
      <c r="E8" s="27">
        <f>ROUND((O8/B8), 0)</f>
        <v>24</v>
      </c>
      <c r="F8" s="27">
        <f>ROUND((O8/D8), 0)</f>
        <v>16</v>
      </c>
      <c r="G8" s="284">
        <v>6</v>
      </c>
      <c r="H8" s="284">
        <v>1.125</v>
      </c>
      <c r="I8" s="17">
        <v>102</v>
      </c>
      <c r="J8" s="17">
        <v>15</v>
      </c>
      <c r="K8" s="27">
        <f>SUM(I8:J8)</f>
        <v>117</v>
      </c>
      <c r="L8" s="17">
        <v>7.5</v>
      </c>
      <c r="M8" s="29">
        <f>(I8+L8)</f>
        <v>109.5</v>
      </c>
      <c r="N8" s="255">
        <v>69</v>
      </c>
      <c r="O8" s="255">
        <v>192</v>
      </c>
      <c r="P8" s="133">
        <f t="shared" ref="P8:P23" si="9">M8/O8</f>
        <v>0.5703125</v>
      </c>
      <c r="Q8" s="17">
        <v>35</v>
      </c>
      <c r="R8" s="17">
        <v>20</v>
      </c>
      <c r="S8" s="223">
        <v>1345692</v>
      </c>
      <c r="T8" s="28">
        <f>SUM(U8:V8)</f>
        <v>1345412</v>
      </c>
      <c r="U8" s="252">
        <v>1267692</v>
      </c>
      <c r="V8" s="20">
        <v>77720</v>
      </c>
      <c r="W8" s="135">
        <f t="shared" ref="W8:W23" si="10">V8/T8</f>
        <v>5.7766691541327117E-2</v>
      </c>
    </row>
    <row r="9" spans="1:220" s="77" customFormat="1">
      <c r="A9" s="10">
        <v>2016</v>
      </c>
      <c r="B9" s="527">
        <v>9</v>
      </c>
      <c r="C9" s="527">
        <v>9</v>
      </c>
      <c r="D9" s="23">
        <f>B9+C9</f>
        <v>18</v>
      </c>
      <c r="E9" s="82">
        <f>ROUND((O9/B9), 0)</f>
        <v>16</v>
      </c>
      <c r="F9" s="82">
        <f>ROUND((O9/D9), 0)</f>
        <v>8</v>
      </c>
      <c r="G9" s="89">
        <v>9</v>
      </c>
      <c r="H9" s="89">
        <v>9</v>
      </c>
      <c r="I9" s="527">
        <v>42</v>
      </c>
      <c r="J9" s="527">
        <v>42</v>
      </c>
      <c r="K9" s="23">
        <f>I9+J9</f>
        <v>84</v>
      </c>
      <c r="L9" s="527">
        <v>28.75</v>
      </c>
      <c r="M9" s="82">
        <f>I9+L9</f>
        <v>70.75</v>
      </c>
      <c r="N9" s="527">
        <v>48</v>
      </c>
      <c r="O9" s="527">
        <v>140.5</v>
      </c>
      <c r="P9" s="133">
        <f t="shared" si="9"/>
        <v>0.50355871886120995</v>
      </c>
      <c r="Q9" s="527">
        <v>70</v>
      </c>
      <c r="R9" s="527">
        <v>98</v>
      </c>
      <c r="S9" s="76">
        <v>1075748</v>
      </c>
      <c r="T9" s="24">
        <f>SUM(U9:V9)</f>
        <v>1223752</v>
      </c>
      <c r="U9" s="76">
        <v>1075811</v>
      </c>
      <c r="V9" s="76">
        <v>147941</v>
      </c>
      <c r="W9" s="135">
        <f t="shared" si="10"/>
        <v>0.12089132438598671</v>
      </c>
    </row>
    <row r="10" spans="1:220" s="9" customFormat="1">
      <c r="A10" s="10">
        <v>2015</v>
      </c>
      <c r="B10" s="54">
        <v>9</v>
      </c>
      <c r="C10" s="54">
        <v>5</v>
      </c>
      <c r="D10" s="19">
        <v>14</v>
      </c>
      <c r="E10" s="19">
        <v>20.2</v>
      </c>
      <c r="F10" s="19">
        <v>13</v>
      </c>
      <c r="G10" s="83"/>
      <c r="H10" s="83"/>
      <c r="I10" s="54">
        <v>47</v>
      </c>
      <c r="J10" s="54">
        <v>83</v>
      </c>
      <c r="K10" s="19">
        <v>130</v>
      </c>
      <c r="L10" s="54">
        <v>57.5</v>
      </c>
      <c r="M10" s="19">
        <v>104.5</v>
      </c>
      <c r="N10" s="54">
        <v>76</v>
      </c>
      <c r="O10" s="54">
        <v>181.8</v>
      </c>
      <c r="P10" s="133">
        <f t="shared" si="9"/>
        <v>0.57480748074807475</v>
      </c>
      <c r="Q10" s="54">
        <v>64</v>
      </c>
      <c r="R10" s="54">
        <v>15</v>
      </c>
      <c r="S10" s="78">
        <v>1513281</v>
      </c>
      <c r="T10" s="79">
        <v>1669724</v>
      </c>
      <c r="U10" s="78">
        <v>1461968</v>
      </c>
      <c r="V10" s="78">
        <v>207756</v>
      </c>
      <c r="W10" s="135">
        <f t="shared" si="10"/>
        <v>0.12442535413038322</v>
      </c>
    </row>
    <row r="11" spans="1:220" s="16" customFormat="1">
      <c r="A11" s="15">
        <v>2014</v>
      </c>
      <c r="B11" s="70">
        <v>11</v>
      </c>
      <c r="C11" s="70">
        <v>3.33</v>
      </c>
      <c r="D11" s="65">
        <f>B11+C11</f>
        <v>14.33</v>
      </c>
      <c r="E11" s="13">
        <f t="shared" ref="E11:E23" si="11">ROUND((O11/B11), 0)</f>
        <v>20</v>
      </c>
      <c r="F11" s="13">
        <f t="shared" ref="F11:F23" si="12">ROUND((O11/D11), 0)</f>
        <v>16</v>
      </c>
      <c r="G11" s="83"/>
      <c r="H11" s="83"/>
      <c r="I11" s="70">
        <v>54</v>
      </c>
      <c r="J11" s="70">
        <v>114</v>
      </c>
      <c r="K11" s="65">
        <f>I11+J11</f>
        <v>168</v>
      </c>
      <c r="L11" s="70">
        <v>78.5</v>
      </c>
      <c r="M11" s="13">
        <f>I11+L11</f>
        <v>132.5</v>
      </c>
      <c r="N11" s="70">
        <v>77</v>
      </c>
      <c r="O11" s="70">
        <v>225</v>
      </c>
      <c r="P11" s="133">
        <f t="shared" si="9"/>
        <v>0.58888888888888891</v>
      </c>
      <c r="Q11" s="70">
        <v>78</v>
      </c>
      <c r="R11" s="70">
        <v>23</v>
      </c>
      <c r="S11" s="71">
        <v>1378862</v>
      </c>
      <c r="T11" s="68">
        <f t="shared" ref="T11:T23" si="13">SUM(U11:V11)</f>
        <v>1461968</v>
      </c>
      <c r="U11" s="71">
        <v>1461968</v>
      </c>
      <c r="V11" s="71">
        <v>0</v>
      </c>
      <c r="W11" s="135">
        <f t="shared" si="10"/>
        <v>0</v>
      </c>
    </row>
    <row r="12" spans="1:220">
      <c r="A12" s="15">
        <v>2013</v>
      </c>
      <c r="B12" s="528">
        <v>11</v>
      </c>
      <c r="C12" s="528">
        <v>9</v>
      </c>
      <c r="D12" s="23">
        <f>B12+C12</f>
        <v>20</v>
      </c>
      <c r="E12" s="82">
        <f t="shared" si="11"/>
        <v>27</v>
      </c>
      <c r="F12" s="82">
        <f>ROUND((O12/D12), 0)</f>
        <v>15</v>
      </c>
      <c r="G12" s="85"/>
      <c r="H12" s="85"/>
      <c r="I12" s="528">
        <v>120</v>
      </c>
      <c r="J12" s="528">
        <v>151</v>
      </c>
      <c r="K12" s="23">
        <f>I12+J12</f>
        <v>271</v>
      </c>
      <c r="L12" s="528">
        <v>79.75</v>
      </c>
      <c r="M12" s="82">
        <f>I12+L12</f>
        <v>199.75</v>
      </c>
      <c r="N12" s="528">
        <v>146</v>
      </c>
      <c r="O12" s="528">
        <v>294.75</v>
      </c>
      <c r="P12" s="133">
        <f t="shared" si="9"/>
        <v>0.67769296013570823</v>
      </c>
      <c r="Q12" s="528">
        <v>130</v>
      </c>
      <c r="R12" s="528">
        <v>20</v>
      </c>
      <c r="S12" s="84">
        <v>1422819</v>
      </c>
      <c r="T12" s="24">
        <f t="shared" si="13"/>
        <v>1906239</v>
      </c>
      <c r="U12" s="84">
        <v>1617098</v>
      </c>
      <c r="V12" s="84">
        <v>289141</v>
      </c>
      <c r="W12" s="135">
        <f t="shared" si="10"/>
        <v>0.15168139986643858</v>
      </c>
    </row>
    <row r="13" spans="1:220">
      <c r="A13" s="15">
        <v>2012</v>
      </c>
      <c r="B13" s="528">
        <v>9</v>
      </c>
      <c r="C13" s="528">
        <v>9</v>
      </c>
      <c r="D13" s="23">
        <f>B13+C13</f>
        <v>18</v>
      </c>
      <c r="E13" s="82">
        <f t="shared" si="11"/>
        <v>29</v>
      </c>
      <c r="F13" s="82">
        <f t="shared" si="12"/>
        <v>15</v>
      </c>
      <c r="G13" s="85"/>
      <c r="H13" s="85"/>
      <c r="I13" s="528">
        <v>82</v>
      </c>
      <c r="J13" s="528">
        <v>148</v>
      </c>
      <c r="K13" s="23">
        <f>I13+J13</f>
        <v>230</v>
      </c>
      <c r="L13" s="528">
        <v>100</v>
      </c>
      <c r="M13" s="82">
        <f>I13+L13</f>
        <v>182</v>
      </c>
      <c r="N13" s="528">
        <v>73</v>
      </c>
      <c r="O13" s="528">
        <v>261.5</v>
      </c>
      <c r="P13" s="133">
        <f t="shared" si="9"/>
        <v>0.69598470363288722</v>
      </c>
      <c r="Q13" s="528">
        <v>97</v>
      </c>
      <c r="R13" s="528">
        <v>23</v>
      </c>
      <c r="S13" s="84">
        <v>1906639</v>
      </c>
      <c r="T13" s="24">
        <f t="shared" si="13"/>
        <v>1906239</v>
      </c>
      <c r="U13" s="84">
        <v>1617098</v>
      </c>
      <c r="V13" s="84">
        <v>289141</v>
      </c>
      <c r="W13" s="135">
        <f t="shared" si="10"/>
        <v>0.15168139986643858</v>
      </c>
    </row>
    <row r="14" spans="1:220">
      <c r="A14" s="15">
        <v>2011</v>
      </c>
      <c r="B14" s="528">
        <v>11</v>
      </c>
      <c r="C14" s="528">
        <v>5.66</v>
      </c>
      <c r="D14" s="23">
        <f t="shared" ref="D14:D23" si="14">SUM(B14:C14)</f>
        <v>16.66</v>
      </c>
      <c r="E14" s="82">
        <f t="shared" si="11"/>
        <v>21</v>
      </c>
      <c r="F14" s="82">
        <f t="shared" si="12"/>
        <v>14</v>
      </c>
      <c r="G14" s="85"/>
      <c r="H14" s="85"/>
      <c r="I14" s="528">
        <v>79</v>
      </c>
      <c r="J14" s="528">
        <v>172</v>
      </c>
      <c r="K14" s="23">
        <f t="shared" ref="K14:K23" si="15">SUM(I14:J14)</f>
        <v>251</v>
      </c>
      <c r="L14" s="528">
        <v>112.75</v>
      </c>
      <c r="M14" s="82">
        <f t="shared" ref="M14:M23" si="16">(I14+L14)</f>
        <v>191.75</v>
      </c>
      <c r="N14" s="528">
        <v>65</v>
      </c>
      <c r="O14" s="528">
        <v>230.25</v>
      </c>
      <c r="P14" s="133">
        <f t="shared" si="9"/>
        <v>0.83279044516829537</v>
      </c>
      <c r="Q14" s="528">
        <v>127</v>
      </c>
      <c r="R14" s="528">
        <v>24</v>
      </c>
      <c r="S14" s="84">
        <v>1475935</v>
      </c>
      <c r="T14" s="24">
        <f t="shared" si="13"/>
        <v>1693719.6</v>
      </c>
      <c r="U14" s="84">
        <v>1515719.6</v>
      </c>
      <c r="V14" s="84">
        <v>178000</v>
      </c>
      <c r="W14" s="135">
        <f t="shared" si="10"/>
        <v>0.10509413718776119</v>
      </c>
    </row>
    <row r="15" spans="1:220">
      <c r="A15" s="15">
        <v>2010</v>
      </c>
      <c r="B15" s="528">
        <v>11</v>
      </c>
      <c r="C15" s="528">
        <v>4.4800000000000004</v>
      </c>
      <c r="D15" s="23">
        <f t="shared" si="14"/>
        <v>15.48</v>
      </c>
      <c r="E15" s="82">
        <f t="shared" si="11"/>
        <v>29</v>
      </c>
      <c r="F15" s="82">
        <f t="shared" si="12"/>
        <v>20</v>
      </c>
      <c r="G15" s="85"/>
      <c r="H15" s="85"/>
      <c r="I15" s="528">
        <v>100</v>
      </c>
      <c r="J15" s="528">
        <v>206</v>
      </c>
      <c r="K15" s="23">
        <f t="shared" si="15"/>
        <v>306</v>
      </c>
      <c r="L15" s="528">
        <v>136.25</v>
      </c>
      <c r="M15" s="82">
        <f t="shared" si="16"/>
        <v>236.25</v>
      </c>
      <c r="N15" s="528">
        <v>96</v>
      </c>
      <c r="O15" s="528">
        <v>316</v>
      </c>
      <c r="P15" s="133">
        <f t="shared" si="9"/>
        <v>0.747626582278481</v>
      </c>
      <c r="Q15" s="528">
        <v>112</v>
      </c>
      <c r="R15" s="528">
        <v>36</v>
      </c>
      <c r="S15" s="84">
        <v>1660603</v>
      </c>
      <c r="T15" s="24">
        <f t="shared" si="13"/>
        <v>1671553</v>
      </c>
      <c r="U15" s="84">
        <v>1541257</v>
      </c>
      <c r="V15" s="84">
        <v>130296</v>
      </c>
      <c r="W15" s="135">
        <f t="shared" si="10"/>
        <v>7.7949068919741099E-2</v>
      </c>
    </row>
    <row r="16" spans="1:220">
      <c r="A16" s="15">
        <v>2009</v>
      </c>
      <c r="B16" s="528">
        <v>10</v>
      </c>
      <c r="C16" s="528">
        <v>4.76</v>
      </c>
      <c r="D16" s="23">
        <f t="shared" si="14"/>
        <v>14.76</v>
      </c>
      <c r="E16" s="82">
        <f t="shared" si="11"/>
        <v>32</v>
      </c>
      <c r="F16" s="82">
        <f t="shared" si="12"/>
        <v>21</v>
      </c>
      <c r="G16" s="85"/>
      <c r="H16" s="85"/>
      <c r="I16" s="528">
        <v>94</v>
      </c>
      <c r="J16" s="528">
        <v>206</v>
      </c>
      <c r="K16" s="23">
        <f t="shared" si="15"/>
        <v>300</v>
      </c>
      <c r="L16" s="528">
        <v>135.25</v>
      </c>
      <c r="M16" s="82">
        <f t="shared" si="16"/>
        <v>229.25</v>
      </c>
      <c r="N16" s="528">
        <v>94</v>
      </c>
      <c r="O16" s="528">
        <v>316.75</v>
      </c>
      <c r="P16" s="133">
        <f t="shared" si="9"/>
        <v>0.72375690607734811</v>
      </c>
      <c r="Q16" s="528">
        <v>81</v>
      </c>
      <c r="R16" s="528">
        <v>24</v>
      </c>
      <c r="S16" s="84">
        <v>1506927</v>
      </c>
      <c r="T16" s="24">
        <f t="shared" si="13"/>
        <v>1264425</v>
      </c>
      <c r="U16" s="84">
        <v>1140441</v>
      </c>
      <c r="V16" s="84">
        <v>123984</v>
      </c>
      <c r="W16" s="135">
        <f t="shared" si="10"/>
        <v>9.8055637938193246E-2</v>
      </c>
    </row>
    <row r="17" spans="1:23">
      <c r="A17" s="15">
        <v>2008</v>
      </c>
      <c r="B17" s="528">
        <v>12</v>
      </c>
      <c r="C17" s="528">
        <v>4</v>
      </c>
      <c r="D17" s="23">
        <f t="shared" si="14"/>
        <v>16</v>
      </c>
      <c r="E17" s="82">
        <f t="shared" si="11"/>
        <v>20</v>
      </c>
      <c r="F17" s="82">
        <f t="shared" si="12"/>
        <v>15</v>
      </c>
      <c r="G17" s="85"/>
      <c r="H17" s="85"/>
      <c r="I17" s="528">
        <v>74</v>
      </c>
      <c r="J17" s="528">
        <v>169</v>
      </c>
      <c r="K17" s="23">
        <f t="shared" si="15"/>
        <v>243</v>
      </c>
      <c r="L17" s="528">
        <v>115</v>
      </c>
      <c r="M17" s="82">
        <f t="shared" si="16"/>
        <v>189</v>
      </c>
      <c r="N17" s="528">
        <v>85</v>
      </c>
      <c r="O17" s="528">
        <v>241</v>
      </c>
      <c r="P17" s="133">
        <f t="shared" si="9"/>
        <v>0.78423236514522821</v>
      </c>
      <c r="Q17" s="528">
        <v>66</v>
      </c>
      <c r="R17" s="528">
        <v>32</v>
      </c>
      <c r="S17" s="84">
        <v>1575085</v>
      </c>
      <c r="T17" s="24">
        <f t="shared" si="13"/>
        <v>1575085</v>
      </c>
      <c r="U17" s="84">
        <v>1453101</v>
      </c>
      <c r="V17" s="84">
        <v>121984</v>
      </c>
      <c r="W17" s="135">
        <f t="shared" si="10"/>
        <v>7.7445979105889518E-2</v>
      </c>
    </row>
    <row r="18" spans="1:23">
      <c r="A18" s="15">
        <v>2007</v>
      </c>
      <c r="B18" s="528">
        <v>12</v>
      </c>
      <c r="C18" s="528">
        <v>3</v>
      </c>
      <c r="D18" s="23">
        <f t="shared" si="14"/>
        <v>15</v>
      </c>
      <c r="E18" s="82">
        <f t="shared" si="11"/>
        <v>14</v>
      </c>
      <c r="F18" s="82">
        <f t="shared" si="12"/>
        <v>11</v>
      </c>
      <c r="G18" s="85"/>
      <c r="H18" s="85"/>
      <c r="I18" s="528">
        <v>53</v>
      </c>
      <c r="J18" s="528">
        <v>150</v>
      </c>
      <c r="K18" s="23">
        <f t="shared" si="15"/>
        <v>203</v>
      </c>
      <c r="L18" s="528">
        <v>83</v>
      </c>
      <c r="M18" s="82">
        <f t="shared" si="16"/>
        <v>136</v>
      </c>
      <c r="N18" s="528">
        <v>71</v>
      </c>
      <c r="O18" s="528">
        <v>171.7</v>
      </c>
      <c r="P18" s="133">
        <f t="shared" si="9"/>
        <v>0.79207920792079212</v>
      </c>
      <c r="Q18" s="528">
        <v>72</v>
      </c>
      <c r="R18" s="528">
        <v>34</v>
      </c>
      <c r="S18" s="179">
        <v>1384786</v>
      </c>
      <c r="T18" s="24">
        <f t="shared" si="13"/>
        <v>1384785.75</v>
      </c>
      <c r="U18" s="179">
        <v>1262801.75</v>
      </c>
      <c r="V18" s="179">
        <v>121984</v>
      </c>
      <c r="W18" s="135">
        <f t="shared" si="10"/>
        <v>8.8088716973004674E-2</v>
      </c>
    </row>
    <row r="19" spans="1:23">
      <c r="A19" s="15">
        <v>2006</v>
      </c>
      <c r="B19" s="528">
        <v>10</v>
      </c>
      <c r="C19" s="528">
        <v>4</v>
      </c>
      <c r="D19" s="23">
        <f t="shared" si="14"/>
        <v>14</v>
      </c>
      <c r="E19" s="82">
        <f t="shared" si="11"/>
        <v>21</v>
      </c>
      <c r="F19" s="82">
        <f t="shared" si="12"/>
        <v>15</v>
      </c>
      <c r="G19" s="85"/>
      <c r="H19" s="85"/>
      <c r="I19" s="528">
        <v>46</v>
      </c>
      <c r="J19" s="528">
        <v>172</v>
      </c>
      <c r="K19" s="23">
        <f t="shared" si="15"/>
        <v>218</v>
      </c>
      <c r="L19" s="528">
        <v>110</v>
      </c>
      <c r="M19" s="82">
        <f t="shared" si="16"/>
        <v>156</v>
      </c>
      <c r="N19" s="528">
        <v>65</v>
      </c>
      <c r="O19" s="528">
        <v>210</v>
      </c>
      <c r="P19" s="133">
        <f t="shared" si="9"/>
        <v>0.74285714285714288</v>
      </c>
      <c r="Q19" s="528">
        <v>62</v>
      </c>
      <c r="R19" s="528">
        <v>27</v>
      </c>
      <c r="S19" s="132">
        <v>1501581</v>
      </c>
      <c r="T19" s="24">
        <f t="shared" si="13"/>
        <v>1501581</v>
      </c>
      <c r="U19" s="132">
        <v>1361195</v>
      </c>
      <c r="V19" s="132">
        <v>140386</v>
      </c>
      <c r="W19" s="135">
        <f t="shared" si="10"/>
        <v>9.3492125965898606E-2</v>
      </c>
    </row>
    <row r="20" spans="1:23">
      <c r="A20" s="15">
        <v>2005</v>
      </c>
      <c r="B20" s="528">
        <v>10</v>
      </c>
      <c r="C20" s="528">
        <v>4</v>
      </c>
      <c r="D20" s="23">
        <f t="shared" si="14"/>
        <v>14</v>
      </c>
      <c r="E20" s="82">
        <f t="shared" si="11"/>
        <v>19</v>
      </c>
      <c r="F20" s="82">
        <f t="shared" si="12"/>
        <v>13</v>
      </c>
      <c r="G20" s="85"/>
      <c r="H20" s="85"/>
      <c r="I20" s="528">
        <v>33</v>
      </c>
      <c r="J20" s="528">
        <v>159</v>
      </c>
      <c r="K20" s="23">
        <f t="shared" si="15"/>
        <v>192</v>
      </c>
      <c r="L20" s="528">
        <v>102</v>
      </c>
      <c r="M20" s="82">
        <f t="shared" si="16"/>
        <v>135</v>
      </c>
      <c r="N20" s="528">
        <v>53</v>
      </c>
      <c r="O20" s="528">
        <v>185</v>
      </c>
      <c r="P20" s="133">
        <f t="shared" si="9"/>
        <v>0.72972972972972971</v>
      </c>
      <c r="Q20" s="528">
        <v>88</v>
      </c>
      <c r="R20" s="528">
        <v>38</v>
      </c>
      <c r="S20" s="132">
        <v>988009</v>
      </c>
      <c r="T20" s="24">
        <f t="shared" si="13"/>
        <v>1153009</v>
      </c>
      <c r="U20" s="132">
        <v>979918</v>
      </c>
      <c r="V20" s="132">
        <v>173091</v>
      </c>
      <c r="W20" s="135">
        <f t="shared" si="10"/>
        <v>0.15012111787505561</v>
      </c>
    </row>
    <row r="21" spans="1:23">
      <c r="A21" s="15">
        <v>2004</v>
      </c>
      <c r="B21" s="528">
        <v>6</v>
      </c>
      <c r="C21" s="528">
        <v>2</v>
      </c>
      <c r="D21" s="23">
        <f t="shared" si="14"/>
        <v>8</v>
      </c>
      <c r="E21" s="82">
        <f t="shared" si="11"/>
        <v>23</v>
      </c>
      <c r="F21" s="82">
        <f t="shared" si="12"/>
        <v>17</v>
      </c>
      <c r="G21" s="85"/>
      <c r="H21" s="85"/>
      <c r="I21" s="528">
        <v>37</v>
      </c>
      <c r="J21" s="528">
        <v>154</v>
      </c>
      <c r="K21" s="23">
        <f t="shared" si="15"/>
        <v>191</v>
      </c>
      <c r="L21" s="528">
        <v>61</v>
      </c>
      <c r="M21" s="82">
        <f t="shared" si="16"/>
        <v>98</v>
      </c>
      <c r="N21" s="528">
        <v>58</v>
      </c>
      <c r="O21" s="528">
        <v>135</v>
      </c>
      <c r="P21" s="133">
        <f t="shared" si="9"/>
        <v>0.72592592592592597</v>
      </c>
      <c r="Q21" s="528">
        <v>48</v>
      </c>
      <c r="R21" s="528">
        <v>30</v>
      </c>
      <c r="S21" s="132">
        <v>1360931</v>
      </c>
      <c r="T21" s="24">
        <f t="shared" si="13"/>
        <v>1360931</v>
      </c>
      <c r="U21" s="132">
        <v>1185364</v>
      </c>
      <c r="V21" s="132">
        <v>175567</v>
      </c>
      <c r="W21" s="135">
        <f t="shared" si="10"/>
        <v>0.12900507079344947</v>
      </c>
    </row>
    <row r="22" spans="1:23">
      <c r="A22" s="15">
        <v>2003</v>
      </c>
      <c r="B22" s="528">
        <v>7</v>
      </c>
      <c r="C22" s="528">
        <v>3</v>
      </c>
      <c r="D22" s="23">
        <f t="shared" si="14"/>
        <v>10</v>
      </c>
      <c r="E22" s="82">
        <f t="shared" si="11"/>
        <v>22</v>
      </c>
      <c r="F22" s="82">
        <f t="shared" si="12"/>
        <v>15</v>
      </c>
      <c r="G22" s="85"/>
      <c r="H22" s="85"/>
      <c r="I22" s="528">
        <v>30</v>
      </c>
      <c r="J22" s="528">
        <v>144</v>
      </c>
      <c r="K22" s="23">
        <f t="shared" si="15"/>
        <v>174</v>
      </c>
      <c r="L22" s="528">
        <v>76</v>
      </c>
      <c r="M22" s="82">
        <f t="shared" si="16"/>
        <v>106</v>
      </c>
      <c r="N22" s="528">
        <v>60</v>
      </c>
      <c r="O22" s="528">
        <v>154</v>
      </c>
      <c r="P22" s="133">
        <f t="shared" si="9"/>
        <v>0.68831168831168832</v>
      </c>
      <c r="Q22" s="528">
        <v>58</v>
      </c>
      <c r="R22" s="528">
        <v>43</v>
      </c>
      <c r="S22" s="132">
        <v>1389071</v>
      </c>
      <c r="T22" s="24">
        <f t="shared" si="13"/>
        <v>1389071</v>
      </c>
      <c r="U22" s="132">
        <v>1101278</v>
      </c>
      <c r="V22" s="132">
        <v>287793</v>
      </c>
      <c r="W22" s="135">
        <f t="shared" si="10"/>
        <v>0.20718379406092274</v>
      </c>
    </row>
    <row r="23" spans="1:23">
      <c r="A23" s="15">
        <v>2002</v>
      </c>
      <c r="B23" s="528">
        <v>8</v>
      </c>
      <c r="C23" s="528">
        <f>ROUND(2.5, 0)</f>
        <v>3</v>
      </c>
      <c r="D23" s="23">
        <f t="shared" si="14"/>
        <v>11</v>
      </c>
      <c r="E23" s="82">
        <f t="shared" si="11"/>
        <v>21</v>
      </c>
      <c r="F23" s="82">
        <f t="shared" si="12"/>
        <v>15</v>
      </c>
      <c r="G23" s="85"/>
      <c r="H23" s="85"/>
      <c r="I23" s="528">
        <v>32</v>
      </c>
      <c r="J23" s="528">
        <v>127</v>
      </c>
      <c r="K23" s="23">
        <f t="shared" si="15"/>
        <v>159</v>
      </c>
      <c r="L23" s="528">
        <f>ROUND(74.25, 0)</f>
        <v>74</v>
      </c>
      <c r="M23" s="82">
        <f t="shared" si="16"/>
        <v>106</v>
      </c>
      <c r="N23" s="528">
        <v>53</v>
      </c>
      <c r="O23" s="528">
        <f>ROUND(168.5, 0)</f>
        <v>169</v>
      </c>
      <c r="P23" s="133">
        <f t="shared" si="9"/>
        <v>0.62721893491124259</v>
      </c>
      <c r="Q23" s="528">
        <v>54</v>
      </c>
      <c r="R23" s="528">
        <v>41</v>
      </c>
      <c r="S23" s="132">
        <v>1175608</v>
      </c>
      <c r="T23" s="24">
        <f t="shared" si="13"/>
        <v>1175608</v>
      </c>
      <c r="U23" s="132">
        <v>1067758</v>
      </c>
      <c r="V23" s="132">
        <v>107850</v>
      </c>
      <c r="W23" s="135">
        <f t="shared" si="10"/>
        <v>9.1739763594667609E-2</v>
      </c>
    </row>
    <row r="24" spans="1:23" s="12" customFormat="1" ht="20.25" customHeight="1">
      <c r="G24"/>
      <c r="H24"/>
    </row>
    <row r="25" spans="1:23" s="12" customFormat="1" ht="20.25" customHeight="1">
      <c r="G25"/>
      <c r="H25"/>
    </row>
    <row r="26" spans="1:23" s="12" customFormat="1" ht="20.25" customHeight="1">
      <c r="G26"/>
      <c r="H26"/>
    </row>
    <row r="27" spans="1:23" s="12" customFormat="1" ht="20.25" customHeight="1">
      <c r="G27"/>
      <c r="H27"/>
    </row>
    <row r="28" spans="1:23" s="12" customFormat="1" ht="20.25" customHeight="1">
      <c r="G28"/>
      <c r="H28"/>
    </row>
    <row r="29" spans="1:23" s="12" customFormat="1" ht="20.25" customHeight="1">
      <c r="G29"/>
      <c r="H29"/>
    </row>
    <row r="30" spans="1:23" s="12" customFormat="1" ht="20.25" customHeight="1">
      <c r="G30"/>
      <c r="H30"/>
    </row>
    <row r="31" spans="1:23" s="12" customFormat="1" ht="20.25" customHeight="1">
      <c r="G31"/>
      <c r="H31"/>
    </row>
    <row r="32" spans="1:23" s="12" customFormat="1" ht="20.25" customHeight="1">
      <c r="G32"/>
      <c r="H32"/>
    </row>
    <row r="33" spans="7:8" s="12" customFormat="1" ht="20.25" customHeight="1">
      <c r="G33"/>
      <c r="H33"/>
    </row>
    <row r="34" spans="7:8" s="12" customFormat="1">
      <c r="G34"/>
      <c r="H34"/>
    </row>
  </sheetData>
  <printOptions headings="1" gridLines="1"/>
  <pageMargins left="0.5" right="0.5" top="0.5" bottom="0.5" header="0" footer="0"/>
  <pageSetup paperSize="5" scale="65" orientation="landscape"/>
  <legacyDrawing r:id="rId1"/>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HL33"/>
  <sheetViews>
    <sheetView workbookViewId="0">
      <selection activeCell="I6" sqref="I6"/>
    </sheetView>
  </sheetViews>
  <sheetFormatPr defaultColWidth="8.85546875" defaultRowHeight="15"/>
  <cols>
    <col min="1" max="1" width="10.140625" customWidth="1"/>
    <col min="2" max="2" width="9.28515625" customWidth="1"/>
    <col min="3" max="3" width="9.5703125" customWidth="1"/>
    <col min="4" max="4" width="9" customWidth="1"/>
    <col min="5" max="8" width="12.140625" customWidth="1"/>
    <col min="9" max="9" width="9.140625" customWidth="1"/>
    <col min="10" max="10" width="10.42578125" customWidth="1"/>
    <col min="11" max="11" width="11.5703125" customWidth="1"/>
    <col min="12" max="12" width="9.28515625" customWidth="1"/>
    <col min="13" max="13" width="11.5703125" customWidth="1"/>
    <col min="14" max="14" width="11.7109375" customWidth="1"/>
    <col min="15" max="15" width="14.42578125" customWidth="1"/>
    <col min="16" max="16" width="11.7109375" customWidth="1"/>
    <col min="17" max="17" width="10.85546875" customWidth="1"/>
    <col min="18" max="18" width="10.28515625" customWidth="1"/>
    <col min="19" max="19" width="11.85546875" bestFit="1" customWidth="1"/>
    <col min="20" max="20" width="12.85546875" bestFit="1" customWidth="1"/>
    <col min="21" max="23" width="14.42578125" customWidth="1"/>
  </cols>
  <sheetData>
    <row r="1" spans="1:220" s="7" customFormat="1" ht="18.75">
      <c r="A1" s="1" t="s">
        <v>147</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c r="A3" s="10">
        <v>2022</v>
      </c>
      <c r="B3" s="17">
        <v>22</v>
      </c>
      <c r="C3" s="17">
        <v>16.95</v>
      </c>
      <c r="D3" s="23">
        <f t="shared" ref="D3" si="0">SUM(B3:C3)</f>
        <v>38.950000000000003</v>
      </c>
      <c r="E3" s="82">
        <f>ROUND((O3/B3),0)</f>
        <v>21</v>
      </c>
      <c r="F3" s="82">
        <f t="shared" ref="F3" si="1">ROUND((O3/D3), 0)</f>
        <v>12</v>
      </c>
      <c r="G3" s="17">
        <v>23</v>
      </c>
      <c r="H3" s="17">
        <v>10.75</v>
      </c>
      <c r="I3" s="17">
        <v>293</v>
      </c>
      <c r="J3" s="17">
        <v>31</v>
      </c>
      <c r="K3" s="23">
        <f t="shared" ref="K3" si="2">SUM(I3:J3)</f>
        <v>324</v>
      </c>
      <c r="L3" s="17">
        <v>16</v>
      </c>
      <c r="M3" s="82">
        <f t="shared" ref="M3" si="3">(I3+L3)</f>
        <v>309</v>
      </c>
      <c r="N3" s="17">
        <v>58</v>
      </c>
      <c r="O3" s="17">
        <v>469</v>
      </c>
      <c r="P3" s="133">
        <f>M3/O3</f>
        <v>0.65884861407249462</v>
      </c>
      <c r="Q3" s="17">
        <v>80</v>
      </c>
      <c r="R3" s="17">
        <v>68</v>
      </c>
      <c r="S3" s="20">
        <v>13647323</v>
      </c>
      <c r="T3" s="24">
        <v>27372685</v>
      </c>
      <c r="U3" s="20">
        <v>27372685</v>
      </c>
      <c r="V3" s="20">
        <v>0</v>
      </c>
      <c r="W3" s="135">
        <f>V3/T3</f>
        <v>0</v>
      </c>
    </row>
    <row r="4" spans="1:220">
      <c r="A4" s="10">
        <v>2021</v>
      </c>
      <c r="B4" s="17">
        <v>23</v>
      </c>
      <c r="C4" s="17">
        <v>11.8</v>
      </c>
      <c r="D4" s="23">
        <f>SUM(B4:C4)</f>
        <v>34.799999999999997</v>
      </c>
      <c r="E4" s="82">
        <f t="shared" ref="E4" si="4">ROUND((O4/B4), 0)</f>
        <v>16</v>
      </c>
      <c r="F4" s="82">
        <f t="shared" ref="F4" si="5">ROUND((O4/D4), 0)</f>
        <v>11</v>
      </c>
      <c r="G4" s="17">
        <v>23</v>
      </c>
      <c r="H4" s="17">
        <v>11.3</v>
      </c>
      <c r="I4" s="17">
        <v>231</v>
      </c>
      <c r="J4" s="17">
        <v>24</v>
      </c>
      <c r="K4" s="23">
        <f>SUM(I4:J4)</f>
        <v>255</v>
      </c>
      <c r="L4" s="17">
        <v>14</v>
      </c>
      <c r="M4" s="82">
        <f>(I4+L4)</f>
        <v>245</v>
      </c>
      <c r="N4" s="17">
        <v>51</v>
      </c>
      <c r="O4" s="17">
        <v>372</v>
      </c>
      <c r="P4" s="133">
        <f>M4/O4</f>
        <v>0.65860215053763438</v>
      </c>
      <c r="Q4" s="17">
        <v>82</v>
      </c>
      <c r="R4" s="17">
        <v>79</v>
      </c>
      <c r="S4" s="20">
        <v>12588222</v>
      </c>
      <c r="T4" s="24">
        <f t="shared" ref="T4" si="6">SUM(U4:V4)</f>
        <v>21235514</v>
      </c>
      <c r="U4" s="20">
        <v>21235514</v>
      </c>
      <c r="V4" s="20">
        <v>0</v>
      </c>
      <c r="W4" s="135">
        <f>SUM(X4:Y4)</f>
        <v>0</v>
      </c>
    </row>
    <row r="5" spans="1:220">
      <c r="A5" s="10">
        <v>2020</v>
      </c>
      <c r="B5" s="17">
        <v>26</v>
      </c>
      <c r="C5" s="17">
        <v>12.96</v>
      </c>
      <c r="D5" s="23">
        <f>SUM(B5:C5)</f>
        <v>38.96</v>
      </c>
      <c r="E5" s="82">
        <f>ROUND((O5/B5), 0)</f>
        <v>12</v>
      </c>
      <c r="F5" s="82">
        <f>ROUND((O5/D5), 0)</f>
        <v>8</v>
      </c>
      <c r="G5" s="17">
        <v>26</v>
      </c>
      <c r="H5" s="17">
        <v>11.22</v>
      </c>
      <c r="I5" s="17">
        <v>162</v>
      </c>
      <c r="J5" s="17">
        <v>25</v>
      </c>
      <c r="K5" s="23">
        <f>SUM(I5:J5)</f>
        <v>187</v>
      </c>
      <c r="L5" s="17">
        <v>12</v>
      </c>
      <c r="M5" s="82">
        <f>(I5+L5)</f>
        <v>174</v>
      </c>
      <c r="N5" s="17">
        <v>32</v>
      </c>
      <c r="O5" s="17">
        <v>310.33</v>
      </c>
      <c r="P5" s="133">
        <f>M5/O5</f>
        <v>0.56069345535397808</v>
      </c>
      <c r="Q5" s="17">
        <v>97</v>
      </c>
      <c r="R5" s="17">
        <v>80</v>
      </c>
      <c r="S5" s="20">
        <v>13363766</v>
      </c>
      <c r="T5" s="24">
        <f>SUM(U5:V5)</f>
        <v>18808698</v>
      </c>
      <c r="U5" s="20">
        <v>18808698</v>
      </c>
      <c r="V5" s="20">
        <v>0</v>
      </c>
      <c r="W5" s="135">
        <f>V5/T5</f>
        <v>0</v>
      </c>
    </row>
    <row r="6" spans="1:220">
      <c r="A6" s="10">
        <v>2019</v>
      </c>
      <c r="B6" s="17">
        <v>26</v>
      </c>
      <c r="C6" s="17">
        <v>19.21</v>
      </c>
      <c r="D6" s="23">
        <f>SUM(B6:C6)</f>
        <v>45.21</v>
      </c>
      <c r="E6" s="82">
        <f>ROUND((O6/B6), 0)</f>
        <v>13</v>
      </c>
      <c r="F6" s="82">
        <f>ROUND((O6/D6), 0)</f>
        <v>8</v>
      </c>
      <c r="G6" s="17">
        <v>26</v>
      </c>
      <c r="H6" s="17">
        <v>15.21</v>
      </c>
      <c r="I6" s="17">
        <v>197</v>
      </c>
      <c r="J6" s="17">
        <v>20</v>
      </c>
      <c r="K6" s="23">
        <f>SUM(I6:J6)</f>
        <v>217</v>
      </c>
      <c r="L6" s="17">
        <v>10.34</v>
      </c>
      <c r="M6" s="82">
        <f>(I6+L6)</f>
        <v>207.34</v>
      </c>
      <c r="N6" s="17">
        <v>38</v>
      </c>
      <c r="O6" s="17">
        <v>340.25</v>
      </c>
      <c r="P6" s="133">
        <f>M6/O6</f>
        <v>0.60937545922116088</v>
      </c>
      <c r="Q6" s="17">
        <v>99</v>
      </c>
      <c r="R6" s="17">
        <v>80</v>
      </c>
      <c r="S6" s="20">
        <v>12555899</v>
      </c>
      <c r="T6" s="24">
        <f>SUM(U6:V6)</f>
        <v>21649207</v>
      </c>
      <c r="U6" s="20">
        <v>5532929</v>
      </c>
      <c r="V6" s="20">
        <v>16116278</v>
      </c>
      <c r="W6" s="135">
        <f>V6/T6</f>
        <v>0.74442809845182778</v>
      </c>
    </row>
    <row r="7" spans="1:220" s="14" customFormat="1">
      <c r="A7" s="10">
        <v>2018</v>
      </c>
      <c r="B7" s="17">
        <v>26</v>
      </c>
      <c r="C7" s="17">
        <v>21.55</v>
      </c>
      <c r="D7" s="23">
        <f>SUM(B7:C7)</f>
        <v>47.55</v>
      </c>
      <c r="E7" s="82">
        <f>ROUND((O7/B7), 0)</f>
        <v>15</v>
      </c>
      <c r="F7" s="82">
        <f>ROUND((O7/D7), 0)</f>
        <v>8</v>
      </c>
      <c r="G7" s="17">
        <v>26</v>
      </c>
      <c r="H7" s="17">
        <v>16.55</v>
      </c>
      <c r="I7" s="17">
        <v>224</v>
      </c>
      <c r="J7" s="17">
        <v>19</v>
      </c>
      <c r="K7" s="23">
        <f>SUM(I7:J7)</f>
        <v>243</v>
      </c>
      <c r="L7" s="17">
        <v>10.89</v>
      </c>
      <c r="M7" s="82">
        <f>(I7+L7)</f>
        <v>234.89</v>
      </c>
      <c r="N7" s="17">
        <v>29</v>
      </c>
      <c r="O7" s="17">
        <v>378.51</v>
      </c>
      <c r="P7" s="133">
        <f>M7/O7</f>
        <v>0.62056484637129794</v>
      </c>
      <c r="Q7" s="17">
        <v>82</v>
      </c>
      <c r="R7" s="17">
        <v>63</v>
      </c>
      <c r="S7" s="20">
        <v>10759835</v>
      </c>
      <c r="T7" s="24">
        <f>SUM(U7:V7)</f>
        <v>19991919</v>
      </c>
      <c r="U7" s="20">
        <v>5412379</v>
      </c>
      <c r="V7" s="20">
        <v>14579540</v>
      </c>
      <c r="W7" s="135">
        <f>V7/T7</f>
        <v>0.72927166221511797</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24</v>
      </c>
      <c r="C8" s="17">
        <v>12.8</v>
      </c>
      <c r="D8" s="27">
        <f>SUM(B8:C8)</f>
        <v>36.799999999999997</v>
      </c>
      <c r="E8" s="27">
        <f>ROUND((O8/B8), 0)</f>
        <v>15</v>
      </c>
      <c r="F8" s="27">
        <f>ROUND((O8/D8), 0)</f>
        <v>9</v>
      </c>
      <c r="G8" s="17">
        <v>24</v>
      </c>
      <c r="H8" s="17">
        <v>9.8000000000000007</v>
      </c>
      <c r="I8" s="17">
        <v>197</v>
      </c>
      <c r="J8" s="17">
        <v>20</v>
      </c>
      <c r="K8" s="27">
        <f>SUM(I8:J8)</f>
        <v>217</v>
      </c>
      <c r="L8" s="17">
        <v>10.01</v>
      </c>
      <c r="M8" s="29">
        <f>(I8+L8)</f>
        <v>207.01</v>
      </c>
      <c r="N8" s="255">
        <v>29</v>
      </c>
      <c r="O8" s="255">
        <v>348</v>
      </c>
      <c r="P8" s="133">
        <f t="shared" ref="P8:P23" si="7">M8/O8</f>
        <v>0.59485632183908044</v>
      </c>
      <c r="Q8" s="17">
        <v>74</v>
      </c>
      <c r="R8" s="17">
        <v>46</v>
      </c>
      <c r="S8" s="223">
        <v>9734573</v>
      </c>
      <c r="T8" s="28">
        <f>SUM(U8:V8)</f>
        <v>12784757</v>
      </c>
      <c r="U8" s="252">
        <v>5707202</v>
      </c>
      <c r="V8" s="20">
        <v>7077555</v>
      </c>
      <c r="W8" s="135">
        <f t="shared" ref="W8:W23" si="8">V8/T8</f>
        <v>0.55359323607011068</v>
      </c>
    </row>
    <row r="9" spans="1:220" s="77" customFormat="1">
      <c r="A9" s="10">
        <v>2016</v>
      </c>
      <c r="B9" s="54">
        <v>24</v>
      </c>
      <c r="C9" s="54">
        <v>15.5</v>
      </c>
      <c r="D9" s="23">
        <f>B9+C9</f>
        <v>39.5</v>
      </c>
      <c r="E9" s="82">
        <f>ROUND((O9/B9), 0)</f>
        <v>12</v>
      </c>
      <c r="F9" s="82">
        <f>ROUND((O9/D9), 0)</f>
        <v>7</v>
      </c>
      <c r="G9" s="66">
        <v>24</v>
      </c>
      <c r="H9" s="66">
        <v>10.5</v>
      </c>
      <c r="I9" s="54">
        <v>160</v>
      </c>
      <c r="J9" s="54">
        <v>19</v>
      </c>
      <c r="K9" s="23">
        <f>I9+J9</f>
        <v>179</v>
      </c>
      <c r="L9" s="54">
        <v>10</v>
      </c>
      <c r="M9" s="82">
        <f>I9+L9</f>
        <v>170</v>
      </c>
      <c r="N9" s="54">
        <v>29</v>
      </c>
      <c r="O9" s="54">
        <v>288.33999999999997</v>
      </c>
      <c r="P9" s="133">
        <f t="shared" si="7"/>
        <v>0.58958174377471051</v>
      </c>
      <c r="Q9" s="54">
        <v>84</v>
      </c>
      <c r="R9" s="54">
        <v>49</v>
      </c>
      <c r="S9" s="58">
        <v>9781400</v>
      </c>
      <c r="T9" s="68">
        <f>SUM(U9:V9)</f>
        <v>13295874</v>
      </c>
      <c r="U9" s="58">
        <v>5451760</v>
      </c>
      <c r="V9" s="58">
        <v>7844114</v>
      </c>
      <c r="W9" s="135">
        <f t="shared" si="8"/>
        <v>0.58996603006316095</v>
      </c>
    </row>
    <row r="10" spans="1:220" s="16" customFormat="1">
      <c r="A10" s="57">
        <v>2015</v>
      </c>
      <c r="B10" s="70">
        <v>25</v>
      </c>
      <c r="C10" s="70">
        <v>14.5</v>
      </c>
      <c r="D10" s="65">
        <v>39.5</v>
      </c>
      <c r="E10" s="65">
        <v>9.9</v>
      </c>
      <c r="F10" s="65">
        <v>6.3</v>
      </c>
      <c r="G10" s="83"/>
      <c r="H10" s="83"/>
      <c r="I10" s="70">
        <v>154</v>
      </c>
      <c r="J10" s="70">
        <v>22</v>
      </c>
      <c r="K10" s="65">
        <v>176</v>
      </c>
      <c r="L10" s="70">
        <v>12</v>
      </c>
      <c r="M10" s="65">
        <v>165.68</v>
      </c>
      <c r="N10" s="70">
        <v>36</v>
      </c>
      <c r="O10" s="70">
        <v>248.27</v>
      </c>
      <c r="P10" s="133">
        <f t="shared" si="7"/>
        <v>0.66733797881338863</v>
      </c>
      <c r="Q10" s="70">
        <v>73</v>
      </c>
      <c r="R10" s="70">
        <v>29</v>
      </c>
      <c r="S10" s="78">
        <v>9174711</v>
      </c>
      <c r="T10" s="79">
        <v>10199545</v>
      </c>
      <c r="U10" s="78">
        <v>5088383</v>
      </c>
      <c r="V10" s="78">
        <v>5111162</v>
      </c>
      <c r="W10" s="135">
        <f t="shared" si="8"/>
        <v>0.50111666745918571</v>
      </c>
    </row>
    <row r="11" spans="1:220" s="16" customFormat="1">
      <c r="A11" s="15">
        <v>2014</v>
      </c>
      <c r="B11" s="70">
        <v>26</v>
      </c>
      <c r="C11" s="70">
        <v>12.5</v>
      </c>
      <c r="D11" s="65">
        <f>B11+C11</f>
        <v>38.5</v>
      </c>
      <c r="E11" s="13">
        <f t="shared" ref="E11:E23" si="9">ROUND((O11/B11), 0)</f>
        <v>10</v>
      </c>
      <c r="F11" s="13">
        <f t="shared" ref="F11:F23" si="10">ROUND((O11/D11), 0)</f>
        <v>7</v>
      </c>
      <c r="G11" s="83"/>
      <c r="H11" s="83"/>
      <c r="I11" s="70">
        <v>169</v>
      </c>
      <c r="J11" s="70">
        <v>24</v>
      </c>
      <c r="K11" s="65">
        <f>I11+J11</f>
        <v>193</v>
      </c>
      <c r="L11" s="70">
        <v>12.68</v>
      </c>
      <c r="M11" s="13">
        <f>I11+L11</f>
        <v>181.68</v>
      </c>
      <c r="N11" s="70">
        <v>33</v>
      </c>
      <c r="O11" s="70">
        <v>266</v>
      </c>
      <c r="P11" s="133">
        <f t="shared" si="7"/>
        <v>0.68300751879699251</v>
      </c>
      <c r="Q11" s="70">
        <v>136</v>
      </c>
      <c r="R11" s="70">
        <v>35</v>
      </c>
      <c r="S11" s="71">
        <v>10388951</v>
      </c>
      <c r="T11" s="68">
        <f t="shared" ref="T11:T21" si="11">SUM(U11:V11)</f>
        <v>11689128</v>
      </c>
      <c r="U11" s="71">
        <v>5504685</v>
      </c>
      <c r="V11" s="71">
        <v>6184443</v>
      </c>
      <c r="W11" s="135">
        <f t="shared" si="8"/>
        <v>0.52907650596349021</v>
      </c>
    </row>
    <row r="12" spans="1:220">
      <c r="A12" s="15">
        <v>2013</v>
      </c>
      <c r="B12" s="528">
        <v>29</v>
      </c>
      <c r="C12" s="528">
        <v>12</v>
      </c>
      <c r="D12" s="23">
        <f>B12+C12</f>
        <v>41</v>
      </c>
      <c r="E12" s="82">
        <f t="shared" si="9"/>
        <v>10</v>
      </c>
      <c r="F12" s="82">
        <f t="shared" si="10"/>
        <v>7</v>
      </c>
      <c r="G12" s="85"/>
      <c r="H12" s="85"/>
      <c r="I12" s="528">
        <v>182</v>
      </c>
      <c r="J12" s="528">
        <v>20</v>
      </c>
      <c r="K12" s="23">
        <f>I12+J12</f>
        <v>202</v>
      </c>
      <c r="L12" s="528">
        <v>9.32</v>
      </c>
      <c r="M12" s="82">
        <f>I12+L12</f>
        <v>191.32</v>
      </c>
      <c r="N12" s="528">
        <v>18</v>
      </c>
      <c r="O12" s="528">
        <v>295.5</v>
      </c>
      <c r="P12" s="133">
        <f t="shared" si="7"/>
        <v>0.64744500846023689</v>
      </c>
      <c r="Q12" s="528">
        <v>130</v>
      </c>
      <c r="R12" s="528">
        <v>40</v>
      </c>
      <c r="S12" s="84">
        <v>9723046</v>
      </c>
      <c r="T12" s="24">
        <f t="shared" si="11"/>
        <v>12927173</v>
      </c>
      <c r="U12" s="84">
        <v>4871670</v>
      </c>
      <c r="V12" s="84">
        <v>8055503</v>
      </c>
      <c r="W12" s="135">
        <f t="shared" si="8"/>
        <v>0.62314498305236576</v>
      </c>
    </row>
    <row r="13" spans="1:220">
      <c r="A13" s="15">
        <v>2012</v>
      </c>
      <c r="B13" s="528">
        <v>25</v>
      </c>
      <c r="C13" s="528">
        <v>9.75</v>
      </c>
      <c r="D13" s="23">
        <f>B13+C13</f>
        <v>34.75</v>
      </c>
      <c r="E13" s="82">
        <f t="shared" si="9"/>
        <v>13</v>
      </c>
      <c r="F13" s="82">
        <f t="shared" si="10"/>
        <v>9</v>
      </c>
      <c r="G13" s="85"/>
      <c r="H13" s="85"/>
      <c r="I13" s="528">
        <v>259</v>
      </c>
      <c r="J13" s="528">
        <v>32</v>
      </c>
      <c r="K13" s="23">
        <f>I13+J13</f>
        <v>291</v>
      </c>
      <c r="L13" s="528">
        <v>21.439999999999998</v>
      </c>
      <c r="M13" s="82">
        <f>I13+L13</f>
        <v>280.44</v>
      </c>
      <c r="N13" s="528">
        <v>39</v>
      </c>
      <c r="O13" s="528">
        <v>312.53000000000003</v>
      </c>
      <c r="P13" s="133">
        <f t="shared" si="7"/>
        <v>0.89732185710171819</v>
      </c>
      <c r="Q13" s="528">
        <v>133</v>
      </c>
      <c r="R13" s="528">
        <v>27</v>
      </c>
      <c r="S13" s="84">
        <v>9161864</v>
      </c>
      <c r="T13" s="24">
        <f t="shared" si="11"/>
        <v>14800481</v>
      </c>
      <c r="U13" s="84">
        <v>4207782</v>
      </c>
      <c r="V13" s="84">
        <v>10592699</v>
      </c>
      <c r="W13" s="135">
        <f t="shared" si="8"/>
        <v>0.71569964516693751</v>
      </c>
    </row>
    <row r="14" spans="1:220">
      <c r="A14" s="15" t="s">
        <v>26</v>
      </c>
      <c r="B14" s="528">
        <v>26</v>
      </c>
      <c r="C14" s="528">
        <v>12</v>
      </c>
      <c r="D14" s="23">
        <f t="shared" ref="D14:D23" si="12">SUM(B14:C14)</f>
        <v>38</v>
      </c>
      <c r="E14" s="82">
        <f t="shared" si="9"/>
        <v>14</v>
      </c>
      <c r="F14" s="82">
        <f t="shared" si="10"/>
        <v>9</v>
      </c>
      <c r="G14" s="85"/>
      <c r="H14" s="85"/>
      <c r="I14" s="528">
        <v>249</v>
      </c>
      <c r="J14" s="528">
        <v>41</v>
      </c>
      <c r="K14" s="23">
        <f t="shared" ref="K14:K23" si="13">SUM(I14:J14)</f>
        <v>290</v>
      </c>
      <c r="L14" s="528">
        <v>27.47</v>
      </c>
      <c r="M14" s="82">
        <f t="shared" ref="M14:M23" si="14">(I14+L14)</f>
        <v>276.47000000000003</v>
      </c>
      <c r="N14" s="528">
        <v>34</v>
      </c>
      <c r="O14" s="528">
        <v>351.90999999999997</v>
      </c>
      <c r="P14" s="133">
        <f t="shared" si="7"/>
        <v>0.78562700690517473</v>
      </c>
      <c r="Q14" s="528">
        <v>114</v>
      </c>
      <c r="R14" s="528">
        <v>49</v>
      </c>
      <c r="S14" s="84">
        <v>9186016</v>
      </c>
      <c r="T14" s="24">
        <f t="shared" si="11"/>
        <v>14607734.880000003</v>
      </c>
      <c r="U14" s="84">
        <v>5282663.6900000004</v>
      </c>
      <c r="V14" s="84">
        <v>9325071.1900000013</v>
      </c>
      <c r="W14" s="135">
        <f t="shared" si="8"/>
        <v>0.63836530896842236</v>
      </c>
    </row>
    <row r="15" spans="1:220">
      <c r="A15" s="15" t="s">
        <v>27</v>
      </c>
      <c r="B15" s="528">
        <v>27</v>
      </c>
      <c r="C15" s="528">
        <v>14.5</v>
      </c>
      <c r="D15" s="23">
        <f t="shared" si="12"/>
        <v>41.5</v>
      </c>
      <c r="E15" s="82">
        <f t="shared" si="9"/>
        <v>13</v>
      </c>
      <c r="F15" s="82">
        <f t="shared" si="10"/>
        <v>9</v>
      </c>
      <c r="G15" s="85"/>
      <c r="H15" s="85"/>
      <c r="I15" s="528">
        <v>280</v>
      </c>
      <c r="J15" s="528">
        <v>28</v>
      </c>
      <c r="K15" s="23">
        <f t="shared" si="13"/>
        <v>308</v>
      </c>
      <c r="L15" s="528">
        <v>16.05</v>
      </c>
      <c r="M15" s="82">
        <f t="shared" si="14"/>
        <v>296.05</v>
      </c>
      <c r="N15" s="528">
        <v>26</v>
      </c>
      <c r="O15" s="528">
        <v>357.38</v>
      </c>
      <c r="P15" s="133">
        <f t="shared" si="7"/>
        <v>0.82838994907381502</v>
      </c>
      <c r="Q15" s="528">
        <v>111</v>
      </c>
      <c r="R15" s="528">
        <v>30</v>
      </c>
      <c r="S15" s="84">
        <v>10417759.98999992</v>
      </c>
      <c r="T15" s="24">
        <f t="shared" si="11"/>
        <v>9906061</v>
      </c>
      <c r="U15" s="84">
        <v>4409213</v>
      </c>
      <c r="V15" s="84">
        <v>5496848</v>
      </c>
      <c r="W15" s="135">
        <f t="shared" si="8"/>
        <v>0.55489745116651312</v>
      </c>
    </row>
    <row r="16" spans="1:220">
      <c r="A16" s="15" t="s">
        <v>28</v>
      </c>
      <c r="B16" s="528">
        <v>24</v>
      </c>
      <c r="C16" s="528">
        <v>11</v>
      </c>
      <c r="D16" s="23">
        <f t="shared" si="12"/>
        <v>35</v>
      </c>
      <c r="E16" s="82">
        <f t="shared" si="9"/>
        <v>16</v>
      </c>
      <c r="F16" s="82">
        <f t="shared" si="10"/>
        <v>11</v>
      </c>
      <c r="G16" s="85"/>
      <c r="H16" s="85"/>
      <c r="I16" s="528">
        <v>277</v>
      </c>
      <c r="J16" s="528">
        <v>32</v>
      </c>
      <c r="K16" s="23">
        <f t="shared" si="13"/>
        <v>309</v>
      </c>
      <c r="L16" s="528">
        <v>17.04</v>
      </c>
      <c r="M16" s="82">
        <f t="shared" si="14"/>
        <v>294.04000000000002</v>
      </c>
      <c r="N16" s="528">
        <v>29</v>
      </c>
      <c r="O16" s="528">
        <v>373.33</v>
      </c>
      <c r="P16" s="133">
        <f t="shared" si="7"/>
        <v>0.78761417512656373</v>
      </c>
      <c r="Q16" s="528">
        <v>107</v>
      </c>
      <c r="R16" s="528">
        <v>23</v>
      </c>
      <c r="S16" s="84">
        <v>8822492.0899999999</v>
      </c>
      <c r="T16" s="24">
        <f t="shared" si="11"/>
        <v>15247786.359999999</v>
      </c>
      <c r="U16" s="84">
        <v>4784904.3600000003</v>
      </c>
      <c r="V16" s="84">
        <v>10462882</v>
      </c>
      <c r="W16" s="135">
        <f t="shared" si="8"/>
        <v>0.68619022807452301</v>
      </c>
    </row>
    <row r="17" spans="1:23">
      <c r="A17" s="15" t="s">
        <v>29</v>
      </c>
      <c r="B17" s="528">
        <v>23</v>
      </c>
      <c r="C17" s="528">
        <v>8</v>
      </c>
      <c r="D17" s="23">
        <f t="shared" si="12"/>
        <v>31</v>
      </c>
      <c r="E17" s="82">
        <f t="shared" si="9"/>
        <v>15</v>
      </c>
      <c r="F17" s="82">
        <f t="shared" si="10"/>
        <v>11</v>
      </c>
      <c r="G17" s="85"/>
      <c r="H17" s="85"/>
      <c r="I17" s="528">
        <v>242</v>
      </c>
      <c r="J17" s="528">
        <v>28</v>
      </c>
      <c r="K17" s="23">
        <f t="shared" si="13"/>
        <v>270</v>
      </c>
      <c r="L17" s="528">
        <v>15.01</v>
      </c>
      <c r="M17" s="82">
        <f t="shared" si="14"/>
        <v>257.01</v>
      </c>
      <c r="N17" s="528">
        <v>26</v>
      </c>
      <c r="O17" s="528">
        <v>343</v>
      </c>
      <c r="P17" s="133">
        <f t="shared" si="7"/>
        <v>0.74930029154518951</v>
      </c>
      <c r="Q17" s="528">
        <v>141</v>
      </c>
      <c r="R17" s="528">
        <v>20</v>
      </c>
      <c r="S17" s="84">
        <v>8154583.1600000001</v>
      </c>
      <c r="T17" s="24">
        <f t="shared" si="11"/>
        <v>8634276</v>
      </c>
      <c r="U17" s="84">
        <v>4161476</v>
      </c>
      <c r="V17" s="84">
        <v>4472800</v>
      </c>
      <c r="W17" s="135">
        <f t="shared" si="8"/>
        <v>0.51802837898626364</v>
      </c>
    </row>
    <row r="18" spans="1:23">
      <c r="A18" s="15">
        <v>2007</v>
      </c>
      <c r="B18" s="528">
        <v>21</v>
      </c>
      <c r="C18" s="528">
        <v>1</v>
      </c>
      <c r="D18" s="23">
        <f t="shared" si="12"/>
        <v>22</v>
      </c>
      <c r="E18" s="82">
        <f t="shared" si="9"/>
        <v>15</v>
      </c>
      <c r="F18" s="82">
        <f t="shared" si="10"/>
        <v>14</v>
      </c>
      <c r="G18" s="85"/>
      <c r="H18" s="85"/>
      <c r="I18" s="528">
        <v>231</v>
      </c>
      <c r="J18" s="528">
        <v>43</v>
      </c>
      <c r="K18" s="23">
        <f t="shared" si="13"/>
        <v>274</v>
      </c>
      <c r="L18" s="528">
        <v>22.35</v>
      </c>
      <c r="M18" s="82">
        <f t="shared" si="14"/>
        <v>253.35</v>
      </c>
      <c r="N18" s="528">
        <v>22</v>
      </c>
      <c r="O18" s="528">
        <v>317</v>
      </c>
      <c r="P18" s="133">
        <f t="shared" si="7"/>
        <v>0.79921135646687691</v>
      </c>
      <c r="Q18" s="528">
        <v>98</v>
      </c>
      <c r="R18" s="528">
        <v>22</v>
      </c>
      <c r="S18" s="132">
        <v>9098359</v>
      </c>
      <c r="T18" s="24">
        <f t="shared" si="11"/>
        <v>9205647</v>
      </c>
      <c r="U18" s="132">
        <v>3573037</v>
      </c>
      <c r="V18" s="132">
        <v>5632610</v>
      </c>
      <c r="W18" s="135">
        <f t="shared" si="8"/>
        <v>0.61186465220749831</v>
      </c>
    </row>
    <row r="19" spans="1:23">
      <c r="A19" s="15">
        <v>2006</v>
      </c>
      <c r="B19" s="528">
        <v>22</v>
      </c>
      <c r="C19" s="528">
        <v>4</v>
      </c>
      <c r="D19" s="23">
        <f t="shared" si="12"/>
        <v>26</v>
      </c>
      <c r="E19" s="82">
        <f t="shared" si="9"/>
        <v>16</v>
      </c>
      <c r="F19" s="82">
        <f t="shared" si="10"/>
        <v>13</v>
      </c>
      <c r="G19" s="85"/>
      <c r="H19" s="85"/>
      <c r="I19" s="528">
        <v>190</v>
      </c>
      <c r="J19" s="528">
        <v>13</v>
      </c>
      <c r="K19" s="23">
        <f t="shared" si="13"/>
        <v>203</v>
      </c>
      <c r="L19" s="528">
        <v>7</v>
      </c>
      <c r="M19" s="82">
        <f t="shared" si="14"/>
        <v>197</v>
      </c>
      <c r="N19" s="528">
        <v>13</v>
      </c>
      <c r="O19" s="528">
        <v>343</v>
      </c>
      <c r="P19" s="133">
        <f t="shared" si="7"/>
        <v>0.57434402332361512</v>
      </c>
      <c r="Q19" s="528">
        <v>83</v>
      </c>
      <c r="R19" s="528">
        <v>44</v>
      </c>
      <c r="S19" s="132">
        <v>6782606</v>
      </c>
      <c r="T19" s="24">
        <f t="shared" si="11"/>
        <v>12455294</v>
      </c>
      <c r="U19" s="132">
        <v>4069647</v>
      </c>
      <c r="V19" s="132">
        <v>8385647</v>
      </c>
      <c r="W19" s="135">
        <f t="shared" si="8"/>
        <v>0.67325965970775159</v>
      </c>
    </row>
    <row r="20" spans="1:23">
      <c r="A20" s="15">
        <v>2005</v>
      </c>
      <c r="B20" s="528">
        <v>20</v>
      </c>
      <c r="C20" s="528">
        <v>10</v>
      </c>
      <c r="D20" s="23">
        <f t="shared" si="12"/>
        <v>30</v>
      </c>
      <c r="E20" s="82">
        <f t="shared" si="9"/>
        <v>15</v>
      </c>
      <c r="F20" s="82">
        <f t="shared" si="10"/>
        <v>10</v>
      </c>
      <c r="G20" s="85"/>
      <c r="H20" s="85"/>
      <c r="I20" s="528">
        <v>167</v>
      </c>
      <c r="J20" s="528">
        <v>18</v>
      </c>
      <c r="K20" s="23">
        <f t="shared" si="13"/>
        <v>185</v>
      </c>
      <c r="L20" s="528">
        <v>9</v>
      </c>
      <c r="M20" s="82">
        <f t="shared" si="14"/>
        <v>176</v>
      </c>
      <c r="N20" s="528">
        <v>14</v>
      </c>
      <c r="O20" s="528">
        <v>308</v>
      </c>
      <c r="P20" s="133">
        <f t="shared" si="7"/>
        <v>0.5714285714285714</v>
      </c>
      <c r="Q20" s="528">
        <v>73</v>
      </c>
      <c r="R20" s="528">
        <v>58</v>
      </c>
      <c r="S20" s="132">
        <v>5817822</v>
      </c>
      <c r="T20" s="24">
        <f t="shared" si="11"/>
        <v>13302434</v>
      </c>
      <c r="U20" s="132">
        <v>3925427</v>
      </c>
      <c r="V20" s="132">
        <v>9377007</v>
      </c>
      <c r="W20" s="135">
        <f t="shared" si="8"/>
        <v>0.70490911663233957</v>
      </c>
    </row>
    <row r="21" spans="1:23">
      <c r="A21" s="15">
        <v>2004</v>
      </c>
      <c r="B21" s="528">
        <v>20</v>
      </c>
      <c r="C21" s="528">
        <v>6</v>
      </c>
      <c r="D21" s="23">
        <f t="shared" si="12"/>
        <v>26</v>
      </c>
      <c r="E21" s="82">
        <f t="shared" si="9"/>
        <v>16</v>
      </c>
      <c r="F21" s="82">
        <f t="shared" si="10"/>
        <v>12</v>
      </c>
      <c r="G21" s="85"/>
      <c r="H21" s="85"/>
      <c r="I21" s="528">
        <v>157</v>
      </c>
      <c r="J21" s="528">
        <v>15</v>
      </c>
      <c r="K21" s="23">
        <f t="shared" si="13"/>
        <v>172</v>
      </c>
      <c r="L21" s="528">
        <v>8</v>
      </c>
      <c r="M21" s="82">
        <f t="shared" si="14"/>
        <v>165</v>
      </c>
      <c r="N21" s="528">
        <v>11</v>
      </c>
      <c r="O21" s="528">
        <v>317</v>
      </c>
      <c r="P21" s="133">
        <f t="shared" si="7"/>
        <v>0.52050473186119872</v>
      </c>
      <c r="Q21" s="528">
        <v>73</v>
      </c>
      <c r="R21" s="528">
        <v>68</v>
      </c>
      <c r="S21" s="132">
        <v>4889439</v>
      </c>
      <c r="T21" s="24">
        <f t="shared" si="11"/>
        <v>10363309</v>
      </c>
      <c r="U21" s="132">
        <v>3354169</v>
      </c>
      <c r="V21" s="132">
        <v>7009140</v>
      </c>
      <c r="W21" s="135">
        <f t="shared" si="8"/>
        <v>0.67634189041357351</v>
      </c>
    </row>
    <row r="22" spans="1:23">
      <c r="A22" s="15">
        <v>2003</v>
      </c>
      <c r="B22" s="528">
        <v>20</v>
      </c>
      <c r="C22" s="528">
        <v>6</v>
      </c>
      <c r="D22" s="23">
        <f t="shared" si="12"/>
        <v>26</v>
      </c>
      <c r="E22" s="82">
        <f t="shared" si="9"/>
        <v>16</v>
      </c>
      <c r="F22" s="82">
        <f t="shared" si="10"/>
        <v>12</v>
      </c>
      <c r="G22" s="85"/>
      <c r="H22" s="85"/>
      <c r="I22" s="528">
        <v>222</v>
      </c>
      <c r="J22" s="528">
        <v>39</v>
      </c>
      <c r="K22" s="23">
        <f t="shared" si="13"/>
        <v>261</v>
      </c>
      <c r="L22" s="528">
        <v>21</v>
      </c>
      <c r="M22" s="82">
        <f t="shared" si="14"/>
        <v>243</v>
      </c>
      <c r="N22" s="528">
        <v>21</v>
      </c>
      <c r="O22" s="528">
        <v>315</v>
      </c>
      <c r="P22" s="133">
        <f t="shared" si="7"/>
        <v>0.77142857142857146</v>
      </c>
      <c r="Q22" s="528">
        <v>101</v>
      </c>
      <c r="R22" s="528">
        <v>10</v>
      </c>
      <c r="S22" s="132">
        <v>5232460</v>
      </c>
      <c r="T22" s="24">
        <v>9506882</v>
      </c>
      <c r="U22" s="132">
        <v>2932214</v>
      </c>
      <c r="V22" s="132">
        <v>7574598</v>
      </c>
      <c r="W22" s="135">
        <f t="shared" si="8"/>
        <v>0.79674892356926275</v>
      </c>
    </row>
    <row r="23" spans="1:23">
      <c r="A23" s="15">
        <v>2002</v>
      </c>
      <c r="B23" s="528">
        <v>19</v>
      </c>
      <c r="C23" s="528">
        <v>3</v>
      </c>
      <c r="D23" s="23">
        <f t="shared" si="12"/>
        <v>22</v>
      </c>
      <c r="E23" s="82">
        <f t="shared" si="9"/>
        <v>14</v>
      </c>
      <c r="F23" s="82">
        <f t="shared" si="10"/>
        <v>12</v>
      </c>
      <c r="G23" s="85"/>
      <c r="H23" s="85"/>
      <c r="I23" s="528">
        <v>202</v>
      </c>
      <c r="J23" s="528">
        <v>46</v>
      </c>
      <c r="K23" s="23">
        <f t="shared" si="13"/>
        <v>248</v>
      </c>
      <c r="L23" s="528">
        <f>ROUND(25.04, 0)</f>
        <v>25</v>
      </c>
      <c r="M23" s="82">
        <f t="shared" si="14"/>
        <v>227</v>
      </c>
      <c r="N23" s="528">
        <v>26</v>
      </c>
      <c r="O23" s="528">
        <f>ROUND(258.3, 0)</f>
        <v>258</v>
      </c>
      <c r="P23" s="133">
        <f t="shared" si="7"/>
        <v>0.87984496124031009</v>
      </c>
      <c r="Q23" s="528">
        <v>68</v>
      </c>
      <c r="R23" s="528">
        <v>4</v>
      </c>
      <c r="S23" s="132">
        <v>5058381</v>
      </c>
      <c r="T23" s="24">
        <f>SUM(U23:V23)</f>
        <v>8669982</v>
      </c>
      <c r="U23" s="132">
        <v>3662366</v>
      </c>
      <c r="V23" s="132">
        <v>5007616</v>
      </c>
      <c r="W23" s="135">
        <f t="shared" si="8"/>
        <v>0.57758089924523492</v>
      </c>
    </row>
    <row r="24" spans="1:23">
      <c r="A24" s="538" t="s">
        <v>148</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3" s="12" customFormat="1">
      <c r="A25" s="539" t="s">
        <v>149</v>
      </c>
      <c r="B25" s="538"/>
      <c r="C25" s="538"/>
      <c r="D25" s="538"/>
      <c r="E25" s="538"/>
      <c r="F25" s="538"/>
      <c r="G25" s="538"/>
      <c r="H25" s="538"/>
      <c r="I25" s="538"/>
      <c r="J25" s="538"/>
      <c r="K25" s="538"/>
      <c r="L25" s="538"/>
      <c r="M25" s="538"/>
      <c r="N25" s="538"/>
      <c r="O25" s="538"/>
      <c r="P25" s="538"/>
      <c r="Q25" s="538"/>
      <c r="R25" s="538"/>
      <c r="S25" s="538"/>
      <c r="T25" s="538"/>
      <c r="U25" s="538"/>
      <c r="V25" s="538"/>
      <c r="W25" s="538"/>
    </row>
    <row r="26" spans="1:23" s="12" customFormat="1">
      <c r="A26" s="538"/>
      <c r="B26" s="538"/>
      <c r="C26" s="538"/>
      <c r="D26" s="538"/>
      <c r="E26" s="538"/>
      <c r="F26" s="538"/>
      <c r="G26" s="538"/>
      <c r="H26" s="538"/>
      <c r="I26" s="538"/>
      <c r="J26" s="538"/>
      <c r="K26" s="538"/>
      <c r="L26" s="538"/>
      <c r="M26" s="538"/>
      <c r="N26" s="538"/>
      <c r="O26" s="538"/>
      <c r="P26" s="538"/>
      <c r="Q26" s="538"/>
      <c r="R26" s="538"/>
      <c r="S26" s="538"/>
      <c r="T26" s="538"/>
      <c r="U26" s="538"/>
      <c r="V26" s="538"/>
      <c r="W26" s="538"/>
    </row>
    <row r="27" spans="1:23" s="12" customFormat="1">
      <c r="A27" s="12" t="s">
        <v>150</v>
      </c>
    </row>
    <row r="28" spans="1:23" s="12" customFormat="1"/>
    <row r="29" spans="1:23" s="12" customFormat="1"/>
    <row r="30" spans="1:23" s="12" customFormat="1"/>
    <row r="31" spans="1:23" s="12" customFormat="1"/>
    <row r="32" spans="1:23" s="12" customFormat="1"/>
    <row r="33" s="12" customFormat="1"/>
  </sheetData>
  <mergeCells count="2">
    <mergeCell ref="A24:W24"/>
    <mergeCell ref="A25:W26"/>
  </mergeCells>
  <printOptions headings="1" gridLines="1"/>
  <pageMargins left="0.5" right="0.5" top="0.5" bottom="0.5" header="0" footer="0"/>
  <pageSetup paperSize="5" scale="54" orientation="landscape"/>
  <legacyDrawing r:id="rId1"/>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HL33"/>
  <sheetViews>
    <sheetView zoomScaleNormal="100" workbookViewId="0">
      <selection activeCell="G4" sqref="G4"/>
    </sheetView>
  </sheetViews>
  <sheetFormatPr defaultColWidth="8.85546875" defaultRowHeight="15"/>
  <cols>
    <col min="1" max="1" width="10.8554687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10" max="11" width="11.85546875" bestFit="1" customWidth="1"/>
    <col min="12" max="12" width="12.28515625" bestFit="1" customWidth="1"/>
    <col min="13" max="13" width="13.140625" bestFit="1" customWidth="1"/>
    <col min="14" max="14" width="11.7109375"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0.85546875" bestFit="1" customWidth="1"/>
    <col min="23" max="23" width="12.85546875" bestFit="1" customWidth="1"/>
  </cols>
  <sheetData>
    <row r="1" spans="1:220" s="7" customFormat="1" ht="18.75">
      <c r="A1" s="1" t="s">
        <v>151</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9" customFormat="1">
      <c r="A3" s="10">
        <v>2022</v>
      </c>
      <c r="B3" s="54">
        <v>16</v>
      </c>
      <c r="C3" s="54">
        <v>4</v>
      </c>
      <c r="D3" s="65">
        <v>20</v>
      </c>
      <c r="E3" s="13">
        <v>18.059999999999999</v>
      </c>
      <c r="F3" s="13">
        <v>14.45</v>
      </c>
      <c r="G3" s="54">
        <v>16</v>
      </c>
      <c r="H3" s="54">
        <v>3</v>
      </c>
      <c r="I3" s="54">
        <v>69</v>
      </c>
      <c r="J3" s="54">
        <v>328</v>
      </c>
      <c r="K3" s="65">
        <v>397</v>
      </c>
      <c r="L3" s="54">
        <v>220</v>
      </c>
      <c r="M3" s="13">
        <v>289</v>
      </c>
      <c r="N3" s="54">
        <v>86</v>
      </c>
      <c r="O3" s="54">
        <v>382</v>
      </c>
      <c r="P3" s="133">
        <v>0.75649999999999995</v>
      </c>
      <c r="Q3" s="54">
        <v>133</v>
      </c>
      <c r="R3" s="54">
        <v>11</v>
      </c>
      <c r="S3" s="58">
        <v>1842698</v>
      </c>
      <c r="T3" s="68">
        <v>2179434</v>
      </c>
      <c r="U3" s="68">
        <v>2179434</v>
      </c>
      <c r="V3" s="58">
        <v>0</v>
      </c>
      <c r="W3" s="135">
        <v>0</v>
      </c>
    </row>
    <row r="4" spans="1:220" s="80" customFormat="1">
      <c r="A4" s="105">
        <v>2021</v>
      </c>
      <c r="B4" s="66">
        <v>15</v>
      </c>
      <c r="C4" s="66">
        <v>7</v>
      </c>
      <c r="D4" s="106">
        <v>22</v>
      </c>
      <c r="E4" s="106">
        <v>24.5</v>
      </c>
      <c r="F4" s="106">
        <v>16.7</v>
      </c>
      <c r="G4" s="66">
        <v>15</v>
      </c>
      <c r="H4" s="66">
        <v>4</v>
      </c>
      <c r="I4" s="66">
        <v>70</v>
      </c>
      <c r="J4" s="66">
        <v>320</v>
      </c>
      <c r="K4" s="106">
        <v>390</v>
      </c>
      <c r="L4" s="66">
        <v>211.5</v>
      </c>
      <c r="M4" s="106">
        <v>281.5</v>
      </c>
      <c r="N4" s="66">
        <v>71</v>
      </c>
      <c r="O4" s="66">
        <v>367.5</v>
      </c>
      <c r="P4" s="303">
        <v>0.76590000000000003</v>
      </c>
      <c r="Q4" s="66">
        <v>128</v>
      </c>
      <c r="R4" s="66">
        <v>3</v>
      </c>
      <c r="S4" s="304">
        <v>2011248</v>
      </c>
      <c r="T4" s="297">
        <v>2011248</v>
      </c>
      <c r="U4" s="304">
        <v>2011248</v>
      </c>
      <c r="V4" s="66">
        <v>0</v>
      </c>
      <c r="W4" s="106">
        <v>0</v>
      </c>
    </row>
    <row r="5" spans="1:220" s="80" customFormat="1">
      <c r="A5" s="105">
        <v>2020</v>
      </c>
      <c r="B5" s="66">
        <v>14</v>
      </c>
      <c r="C5" s="66">
        <v>8.3000000000000007</v>
      </c>
      <c r="D5" s="106">
        <v>22.3</v>
      </c>
      <c r="E5" s="106">
        <v>24</v>
      </c>
      <c r="F5" s="106">
        <v>15</v>
      </c>
      <c r="G5" s="66">
        <v>14</v>
      </c>
      <c r="H5" s="66">
        <v>6.3</v>
      </c>
      <c r="I5" s="66">
        <v>88</v>
      </c>
      <c r="J5" s="66">
        <v>316</v>
      </c>
      <c r="K5" s="106">
        <v>404</v>
      </c>
      <c r="L5" s="66">
        <v>209.5</v>
      </c>
      <c r="M5" s="106">
        <v>297.5</v>
      </c>
      <c r="N5" s="66">
        <v>67</v>
      </c>
      <c r="O5" s="66">
        <v>341.25</v>
      </c>
      <c r="P5" s="303">
        <v>0.89</v>
      </c>
      <c r="Q5" s="66">
        <v>135</v>
      </c>
      <c r="R5" s="66">
        <v>0</v>
      </c>
      <c r="S5" s="304">
        <v>1848023</v>
      </c>
      <c r="T5" s="297">
        <v>1848023</v>
      </c>
      <c r="U5" s="304">
        <v>1848023</v>
      </c>
      <c r="V5" s="66">
        <v>0</v>
      </c>
      <c r="W5" s="106">
        <v>0</v>
      </c>
    </row>
    <row r="6" spans="1:220" s="16" customFormat="1">
      <c r="A6" s="105">
        <v>2019</v>
      </c>
      <c r="B6" s="66">
        <v>13</v>
      </c>
      <c r="C6" s="66">
        <v>4.3</v>
      </c>
      <c r="D6" s="106">
        <v>17.3</v>
      </c>
      <c r="E6" s="106">
        <v>20</v>
      </c>
      <c r="F6" s="106">
        <v>15</v>
      </c>
      <c r="G6" s="66">
        <v>13</v>
      </c>
      <c r="H6" s="66">
        <v>4.3</v>
      </c>
      <c r="I6" s="66">
        <v>60</v>
      </c>
      <c r="J6" s="66">
        <v>308</v>
      </c>
      <c r="K6" s="106">
        <v>368</v>
      </c>
      <c r="L6" s="66">
        <v>198</v>
      </c>
      <c r="M6" s="106">
        <v>258</v>
      </c>
      <c r="N6" s="66">
        <v>58</v>
      </c>
      <c r="O6" s="66">
        <v>258</v>
      </c>
      <c r="P6" s="354">
        <v>1</v>
      </c>
      <c r="Q6" s="66">
        <v>117</v>
      </c>
      <c r="R6" s="66">
        <v>0</v>
      </c>
      <c r="S6" s="326">
        <v>1773371</v>
      </c>
      <c r="T6" s="398">
        <v>1804328</v>
      </c>
      <c r="U6" s="326">
        <v>1804328</v>
      </c>
      <c r="V6" s="66">
        <v>0</v>
      </c>
      <c r="W6" s="106">
        <v>0</v>
      </c>
    </row>
    <row r="7" spans="1:220" s="14" customFormat="1">
      <c r="A7" s="10">
        <v>2018</v>
      </c>
      <c r="B7" s="17">
        <v>12</v>
      </c>
      <c r="C7" s="17">
        <v>2</v>
      </c>
      <c r="D7" s="23">
        <f>SUM(B7:C7)</f>
        <v>14</v>
      </c>
      <c r="E7" s="82">
        <f>ROUND((O7/B7), 0)</f>
        <v>20</v>
      </c>
      <c r="F7" s="82">
        <f>ROUND((O7/D7), 0)</f>
        <v>17</v>
      </c>
      <c r="G7" s="17">
        <v>12</v>
      </c>
      <c r="H7" s="17">
        <v>2</v>
      </c>
      <c r="I7" s="17">
        <v>63</v>
      </c>
      <c r="J7" s="17">
        <v>267</v>
      </c>
      <c r="K7" s="23">
        <f>SUM(I7:J7)</f>
        <v>330</v>
      </c>
      <c r="L7" s="17">
        <v>177</v>
      </c>
      <c r="M7" s="82">
        <f>(I7+L7)</f>
        <v>240</v>
      </c>
      <c r="N7" s="17">
        <v>53</v>
      </c>
      <c r="O7" s="17">
        <v>240</v>
      </c>
      <c r="P7" s="133">
        <f>M7/O7</f>
        <v>1</v>
      </c>
      <c r="Q7" s="17">
        <v>107</v>
      </c>
      <c r="R7" s="17">
        <v>0</v>
      </c>
      <c r="S7" s="233">
        <v>1613048</v>
      </c>
      <c r="T7" s="24">
        <f>SUM(U7:V7)</f>
        <v>1640399</v>
      </c>
      <c r="U7" s="20">
        <v>1559830</v>
      </c>
      <c r="V7" s="20">
        <v>80569</v>
      </c>
      <c r="W7" s="135">
        <f>V7/T7</f>
        <v>4.9115489585155804E-2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11</v>
      </c>
      <c r="C8" s="17">
        <v>3.3</v>
      </c>
      <c r="D8" s="27">
        <f>SUM(B8:C8)</f>
        <v>14.3</v>
      </c>
      <c r="E8" s="27">
        <f>ROUND((O8/B8), 0)</f>
        <v>23</v>
      </c>
      <c r="F8" s="27">
        <f>ROUND((O8/D8), 0)</f>
        <v>18</v>
      </c>
      <c r="G8" s="17">
        <v>11</v>
      </c>
      <c r="H8" s="17">
        <v>3.3</v>
      </c>
      <c r="I8" s="17">
        <v>85</v>
      </c>
      <c r="J8" s="17">
        <v>257</v>
      </c>
      <c r="K8" s="27">
        <f>SUM(I8:J8)</f>
        <v>342</v>
      </c>
      <c r="L8" s="17">
        <v>169</v>
      </c>
      <c r="M8" s="29">
        <f>(I8+L8)</f>
        <v>254</v>
      </c>
      <c r="N8" s="255">
        <v>65</v>
      </c>
      <c r="O8" s="255">
        <v>254</v>
      </c>
      <c r="P8" s="133">
        <f t="shared" ref="P8:P23" si="0">M8/O8</f>
        <v>1</v>
      </c>
      <c r="Q8" s="17">
        <v>84</v>
      </c>
      <c r="R8" s="17">
        <v>0</v>
      </c>
      <c r="S8" s="223">
        <v>1420156</v>
      </c>
      <c r="T8" s="28">
        <f>SUM(U8:V8)</f>
        <v>1496479</v>
      </c>
      <c r="U8" s="252">
        <v>1420137</v>
      </c>
      <c r="V8" s="20">
        <v>76342</v>
      </c>
      <c r="W8" s="135">
        <f t="shared" ref="W8:W23" si="1">V8/T8</f>
        <v>5.1014414502308418E-2</v>
      </c>
    </row>
    <row r="9" spans="1:220" s="9" customFormat="1">
      <c r="A9" s="10">
        <v>2016</v>
      </c>
      <c r="B9" s="54">
        <v>9</v>
      </c>
      <c r="C9" s="54">
        <v>3.65</v>
      </c>
      <c r="D9" s="65">
        <f>SUM(B9:C9)</f>
        <v>12.65</v>
      </c>
      <c r="E9" s="13">
        <f>ROUND((O9/B9), 0)</f>
        <v>23</v>
      </c>
      <c r="F9" s="13">
        <f>ROUND((O9/D9), 0)</f>
        <v>16</v>
      </c>
      <c r="G9" s="54">
        <v>9</v>
      </c>
      <c r="H9" s="54">
        <v>3.65</v>
      </c>
      <c r="I9" s="54">
        <v>82</v>
      </c>
      <c r="J9" s="54">
        <v>225</v>
      </c>
      <c r="K9" s="65">
        <f>SUM(I9:J9)</f>
        <v>307</v>
      </c>
      <c r="L9" s="54">
        <v>124</v>
      </c>
      <c r="M9" s="13">
        <f>(I9+L9)</f>
        <v>206</v>
      </c>
      <c r="N9" s="54">
        <v>44</v>
      </c>
      <c r="O9" s="54">
        <v>206</v>
      </c>
      <c r="P9" s="133">
        <f t="shared" si="0"/>
        <v>1</v>
      </c>
      <c r="Q9" s="54">
        <v>76</v>
      </c>
      <c r="R9" s="54">
        <v>0</v>
      </c>
      <c r="S9" s="58">
        <v>1457468</v>
      </c>
      <c r="T9" s="68">
        <f>SUM(U9:V9)</f>
        <v>1562438</v>
      </c>
      <c r="U9" s="58">
        <v>1509953</v>
      </c>
      <c r="V9" s="58">
        <v>52485</v>
      </c>
      <c r="W9" s="135">
        <f t="shared" si="1"/>
        <v>3.3591732919962265E-2</v>
      </c>
    </row>
    <row r="10" spans="1:220" s="9" customFormat="1">
      <c r="A10" s="15">
        <v>2015</v>
      </c>
      <c r="B10" s="54">
        <v>9</v>
      </c>
      <c r="C10" s="54">
        <v>1.83</v>
      </c>
      <c r="D10" s="19">
        <v>10.83</v>
      </c>
      <c r="E10" s="19">
        <v>20.100000000000001</v>
      </c>
      <c r="F10" s="19">
        <v>16.71</v>
      </c>
      <c r="G10" s="83"/>
      <c r="H10" s="83"/>
      <c r="I10" s="54">
        <v>81</v>
      </c>
      <c r="J10" s="54">
        <v>183</v>
      </c>
      <c r="K10" s="19">
        <v>264</v>
      </c>
      <c r="L10" s="54">
        <v>100</v>
      </c>
      <c r="M10" s="19">
        <v>181</v>
      </c>
      <c r="N10" s="54">
        <v>39</v>
      </c>
      <c r="O10" s="54">
        <v>181</v>
      </c>
      <c r="P10" s="133">
        <f t="shared" si="0"/>
        <v>1</v>
      </c>
      <c r="Q10" s="54">
        <v>95</v>
      </c>
      <c r="R10" s="54"/>
      <c r="S10" s="78">
        <v>1494507</v>
      </c>
      <c r="T10" s="79">
        <v>1493007</v>
      </c>
      <c r="U10" s="78">
        <v>1465091</v>
      </c>
      <c r="V10" s="78">
        <v>27916</v>
      </c>
      <c r="W10" s="135">
        <f t="shared" si="1"/>
        <v>1.8697835977996083E-2</v>
      </c>
    </row>
    <row r="11" spans="1:220" s="16" customFormat="1">
      <c r="A11" s="15">
        <v>2014</v>
      </c>
      <c r="B11" s="25">
        <v>10</v>
      </c>
      <c r="C11" s="25">
        <v>3.33</v>
      </c>
      <c r="D11" s="65">
        <f t="shared" ref="D11:D23" si="2">SUM(B11:C11)</f>
        <v>13.33</v>
      </c>
      <c r="E11" s="13">
        <f t="shared" ref="E11:E23" si="3">ROUND((O11/B11), 0)</f>
        <v>19</v>
      </c>
      <c r="F11" s="13">
        <f t="shared" ref="F11:F23" si="4">ROUND((O11/D11), 0)</f>
        <v>14</v>
      </c>
      <c r="G11" s="83"/>
      <c r="H11" s="83"/>
      <c r="I11" s="25">
        <v>63</v>
      </c>
      <c r="J11" s="25">
        <v>189</v>
      </c>
      <c r="K11" s="65">
        <f t="shared" ref="K11:K23" si="5">SUM(I11:J11)</f>
        <v>252</v>
      </c>
      <c r="L11" s="25">
        <v>124</v>
      </c>
      <c r="M11" s="13">
        <f t="shared" ref="M11:M21" si="6">(I11+L11)</f>
        <v>187</v>
      </c>
      <c r="N11" s="25">
        <v>41</v>
      </c>
      <c r="O11" s="25">
        <v>187</v>
      </c>
      <c r="P11" s="133">
        <f t="shared" si="0"/>
        <v>1</v>
      </c>
      <c r="Q11" s="25">
        <v>42</v>
      </c>
      <c r="R11" s="25">
        <v>0</v>
      </c>
      <c r="S11" s="123">
        <v>1505314</v>
      </c>
      <c r="T11" s="68">
        <f t="shared" ref="T11:T23" si="7">SUM(U11:V11)</f>
        <v>1505289</v>
      </c>
      <c r="U11" s="123">
        <v>1479789</v>
      </c>
      <c r="V11" s="123">
        <v>25500</v>
      </c>
      <c r="W11" s="135">
        <f t="shared" si="1"/>
        <v>1.6940268612871016E-2</v>
      </c>
    </row>
    <row r="12" spans="1:220">
      <c r="A12" s="15">
        <v>2013</v>
      </c>
      <c r="B12" s="529">
        <v>11</v>
      </c>
      <c r="C12" s="529">
        <v>2.33</v>
      </c>
      <c r="D12" s="23">
        <f t="shared" si="2"/>
        <v>13.33</v>
      </c>
      <c r="E12" s="82">
        <f t="shared" si="3"/>
        <v>14</v>
      </c>
      <c r="F12" s="82">
        <f t="shared" si="4"/>
        <v>11</v>
      </c>
      <c r="G12" s="85"/>
      <c r="H12" s="85"/>
      <c r="I12" s="529">
        <v>51</v>
      </c>
      <c r="J12" s="529">
        <v>153</v>
      </c>
      <c r="K12" s="23">
        <f t="shared" si="5"/>
        <v>204</v>
      </c>
      <c r="L12" s="529">
        <v>101</v>
      </c>
      <c r="M12" s="82">
        <f t="shared" si="6"/>
        <v>152</v>
      </c>
      <c r="N12" s="529">
        <v>41</v>
      </c>
      <c r="O12" s="529">
        <v>152</v>
      </c>
      <c r="P12" s="133">
        <f t="shared" si="0"/>
        <v>1</v>
      </c>
      <c r="Q12" s="529">
        <v>81</v>
      </c>
      <c r="R12" s="529">
        <v>0</v>
      </c>
      <c r="S12" s="193">
        <v>1174999</v>
      </c>
      <c r="T12" s="24">
        <f t="shared" si="7"/>
        <v>4064185</v>
      </c>
      <c r="U12" s="193">
        <v>3982001</v>
      </c>
      <c r="V12" s="193">
        <v>82184</v>
      </c>
      <c r="W12" s="135">
        <f t="shared" si="1"/>
        <v>2.0221520427834854E-2</v>
      </c>
    </row>
    <row r="13" spans="1:220">
      <c r="A13" s="15">
        <v>2012</v>
      </c>
      <c r="B13" s="528">
        <v>11</v>
      </c>
      <c r="C13" s="528">
        <v>1.5</v>
      </c>
      <c r="D13" s="23">
        <f t="shared" si="2"/>
        <v>12.5</v>
      </c>
      <c r="E13" s="82">
        <f t="shared" si="3"/>
        <v>8</v>
      </c>
      <c r="F13" s="82">
        <f t="shared" si="4"/>
        <v>7</v>
      </c>
      <c r="G13" s="85"/>
      <c r="H13" s="85"/>
      <c r="I13" s="528">
        <v>43</v>
      </c>
      <c r="J13" s="528">
        <v>158</v>
      </c>
      <c r="K13" s="23">
        <f t="shared" si="5"/>
        <v>201</v>
      </c>
      <c r="L13" s="528">
        <v>43</v>
      </c>
      <c r="M13" s="82">
        <f t="shared" si="6"/>
        <v>86</v>
      </c>
      <c r="N13" s="528">
        <v>34</v>
      </c>
      <c r="O13" s="528">
        <v>86</v>
      </c>
      <c r="P13" s="133">
        <f t="shared" si="0"/>
        <v>1</v>
      </c>
      <c r="Q13" s="528">
        <v>69</v>
      </c>
      <c r="R13" s="528">
        <v>0</v>
      </c>
      <c r="S13" s="84">
        <v>989281</v>
      </c>
      <c r="T13" s="24">
        <f t="shared" si="7"/>
        <v>1032434</v>
      </c>
      <c r="U13" s="84">
        <v>1005134</v>
      </c>
      <c r="V13" s="84">
        <v>27300</v>
      </c>
      <c r="W13" s="135">
        <f t="shared" si="1"/>
        <v>2.6442368228864994E-2</v>
      </c>
    </row>
    <row r="14" spans="1:220">
      <c r="A14" s="15" t="s">
        <v>26</v>
      </c>
      <c r="B14" s="528">
        <v>12</v>
      </c>
      <c r="C14" s="528">
        <v>0.75</v>
      </c>
      <c r="D14" s="23">
        <f t="shared" si="2"/>
        <v>12.75</v>
      </c>
      <c r="E14" s="82">
        <f t="shared" si="3"/>
        <v>12</v>
      </c>
      <c r="F14" s="82">
        <f t="shared" si="4"/>
        <v>11</v>
      </c>
      <c r="G14" s="85"/>
      <c r="H14" s="85"/>
      <c r="I14" s="528">
        <v>57</v>
      </c>
      <c r="J14" s="528">
        <v>127</v>
      </c>
      <c r="K14" s="23">
        <f t="shared" si="5"/>
        <v>184</v>
      </c>
      <c r="L14" s="528">
        <v>83.5</v>
      </c>
      <c r="M14" s="82">
        <f t="shared" si="6"/>
        <v>140.5</v>
      </c>
      <c r="N14" s="528">
        <v>32</v>
      </c>
      <c r="O14" s="528">
        <v>140.5</v>
      </c>
      <c r="P14" s="133">
        <f t="shared" si="0"/>
        <v>1</v>
      </c>
      <c r="Q14" s="528">
        <v>73</v>
      </c>
      <c r="R14" s="528">
        <v>0</v>
      </c>
      <c r="S14" s="84">
        <v>1338736</v>
      </c>
      <c r="T14" s="24">
        <f t="shared" si="7"/>
        <v>1246660</v>
      </c>
      <c r="U14" s="84">
        <v>1242160</v>
      </c>
      <c r="V14" s="84">
        <v>4500</v>
      </c>
      <c r="W14" s="135">
        <f t="shared" si="1"/>
        <v>3.6096449713634831E-3</v>
      </c>
    </row>
    <row r="15" spans="1:220">
      <c r="A15" s="15" t="s">
        <v>27</v>
      </c>
      <c r="B15" s="528">
        <v>12</v>
      </c>
      <c r="C15" s="528">
        <v>1.75</v>
      </c>
      <c r="D15" s="23">
        <f t="shared" si="2"/>
        <v>13.75</v>
      </c>
      <c r="E15" s="82">
        <f t="shared" si="3"/>
        <v>11</v>
      </c>
      <c r="F15" s="82">
        <f t="shared" si="4"/>
        <v>10</v>
      </c>
      <c r="G15" s="85"/>
      <c r="H15" s="85"/>
      <c r="I15" s="528">
        <v>36</v>
      </c>
      <c r="J15" s="528">
        <v>177</v>
      </c>
      <c r="K15" s="23">
        <f t="shared" si="5"/>
        <v>213</v>
      </c>
      <c r="L15" s="528">
        <v>96.9</v>
      </c>
      <c r="M15" s="82">
        <f t="shared" si="6"/>
        <v>132.9</v>
      </c>
      <c r="N15" s="528">
        <v>25</v>
      </c>
      <c r="O15" s="528">
        <v>134.5</v>
      </c>
      <c r="P15" s="133">
        <f t="shared" si="0"/>
        <v>0.98810408921933091</v>
      </c>
      <c r="Q15" s="528">
        <v>67</v>
      </c>
      <c r="R15" s="528">
        <v>0</v>
      </c>
      <c r="S15" s="84">
        <v>1424414.86</v>
      </c>
      <c r="T15" s="24">
        <f t="shared" si="7"/>
        <v>1455423</v>
      </c>
      <c r="U15" s="84">
        <v>1411915</v>
      </c>
      <c r="V15" s="84">
        <v>43508</v>
      </c>
      <c r="W15" s="135">
        <f t="shared" si="1"/>
        <v>2.9893714748220963E-2</v>
      </c>
    </row>
    <row r="16" spans="1:220">
      <c r="A16" s="15" t="s">
        <v>28</v>
      </c>
      <c r="B16" s="528">
        <v>11</v>
      </c>
      <c r="C16" s="528">
        <v>2.5</v>
      </c>
      <c r="D16" s="23">
        <f t="shared" si="2"/>
        <v>13.5</v>
      </c>
      <c r="E16" s="82">
        <f t="shared" si="3"/>
        <v>13</v>
      </c>
      <c r="F16" s="82">
        <f t="shared" si="4"/>
        <v>11</v>
      </c>
      <c r="G16" s="85"/>
      <c r="H16" s="85"/>
      <c r="I16" s="528">
        <v>41</v>
      </c>
      <c r="J16" s="528">
        <v>194</v>
      </c>
      <c r="K16" s="23">
        <f t="shared" si="5"/>
        <v>235</v>
      </c>
      <c r="L16" s="528">
        <v>102.8</v>
      </c>
      <c r="M16" s="82">
        <f t="shared" si="6"/>
        <v>143.80000000000001</v>
      </c>
      <c r="N16" s="528">
        <v>27</v>
      </c>
      <c r="O16" s="528">
        <v>145.9</v>
      </c>
      <c r="P16" s="133">
        <f t="shared" si="0"/>
        <v>0.98560657984921185</v>
      </c>
      <c r="Q16" s="528">
        <v>86</v>
      </c>
      <c r="R16" s="528">
        <v>0</v>
      </c>
      <c r="S16" s="84">
        <v>1230128.1599999999</v>
      </c>
      <c r="T16" s="24">
        <f t="shared" si="7"/>
        <v>798760</v>
      </c>
      <c r="U16" s="84">
        <v>739670</v>
      </c>
      <c r="V16" s="84">
        <v>59090</v>
      </c>
      <c r="W16" s="135">
        <f t="shared" si="1"/>
        <v>7.3977164605137966E-2</v>
      </c>
    </row>
    <row r="17" spans="1:23">
      <c r="A17" s="15" t="s">
        <v>29</v>
      </c>
      <c r="B17" s="528">
        <v>10</v>
      </c>
      <c r="C17" s="528">
        <v>1.75</v>
      </c>
      <c r="D17" s="23">
        <f t="shared" si="2"/>
        <v>11.75</v>
      </c>
      <c r="E17" s="82">
        <f t="shared" si="3"/>
        <v>14</v>
      </c>
      <c r="F17" s="82">
        <f t="shared" si="4"/>
        <v>12</v>
      </c>
      <c r="G17" s="85"/>
      <c r="H17" s="85"/>
      <c r="I17" s="528">
        <v>32</v>
      </c>
      <c r="J17" s="528">
        <v>212</v>
      </c>
      <c r="K17" s="23">
        <f t="shared" si="5"/>
        <v>244</v>
      </c>
      <c r="L17" s="528">
        <v>108.3</v>
      </c>
      <c r="M17" s="82">
        <f t="shared" si="6"/>
        <v>140.30000000000001</v>
      </c>
      <c r="N17" s="528">
        <v>21</v>
      </c>
      <c r="O17" s="528">
        <v>144</v>
      </c>
      <c r="P17" s="133">
        <f t="shared" si="0"/>
        <v>0.97430555555555565</v>
      </c>
      <c r="Q17" s="528">
        <v>87</v>
      </c>
      <c r="R17" s="528">
        <v>0</v>
      </c>
      <c r="S17" s="84">
        <v>1368306</v>
      </c>
      <c r="T17" s="24">
        <f t="shared" si="7"/>
        <v>1368306</v>
      </c>
      <c r="U17" s="84">
        <v>1351006</v>
      </c>
      <c r="V17" s="84">
        <v>17300</v>
      </c>
      <c r="W17" s="135">
        <f t="shared" si="1"/>
        <v>1.2643370708014143E-2</v>
      </c>
    </row>
    <row r="18" spans="1:23">
      <c r="A18" s="15">
        <v>2007</v>
      </c>
      <c r="B18" s="528">
        <v>9</v>
      </c>
      <c r="C18" s="528">
        <v>4.5</v>
      </c>
      <c r="D18" s="23">
        <f t="shared" si="2"/>
        <v>13.5</v>
      </c>
      <c r="E18" s="82">
        <f t="shared" si="3"/>
        <v>17</v>
      </c>
      <c r="F18" s="82">
        <f t="shared" si="4"/>
        <v>11</v>
      </c>
      <c r="G18" s="85"/>
      <c r="H18" s="85"/>
      <c r="I18" s="528">
        <v>32</v>
      </c>
      <c r="J18" s="528">
        <v>234</v>
      </c>
      <c r="K18" s="23">
        <f t="shared" si="5"/>
        <v>266</v>
      </c>
      <c r="L18" s="528">
        <v>122.9</v>
      </c>
      <c r="M18" s="82">
        <f t="shared" si="6"/>
        <v>154.9</v>
      </c>
      <c r="N18" s="528">
        <v>20</v>
      </c>
      <c r="O18" s="528">
        <v>155</v>
      </c>
      <c r="P18" s="133">
        <f t="shared" si="0"/>
        <v>0.99935483870967745</v>
      </c>
      <c r="Q18" s="528">
        <v>75</v>
      </c>
      <c r="R18" s="528">
        <v>0</v>
      </c>
      <c r="S18" s="132">
        <v>1268116</v>
      </c>
      <c r="T18" s="24">
        <f t="shared" si="7"/>
        <v>1314444</v>
      </c>
      <c r="U18" s="132">
        <v>1297144</v>
      </c>
      <c r="V18" s="132">
        <v>17300</v>
      </c>
      <c r="W18" s="135">
        <f t="shared" si="1"/>
        <v>1.3161458380881955E-2</v>
      </c>
    </row>
    <row r="19" spans="1:23">
      <c r="A19" s="15">
        <v>2006</v>
      </c>
      <c r="B19" s="528">
        <v>9</v>
      </c>
      <c r="C19" s="528">
        <v>3</v>
      </c>
      <c r="D19" s="23">
        <f t="shared" si="2"/>
        <v>12</v>
      </c>
      <c r="E19" s="82">
        <f t="shared" si="3"/>
        <v>18</v>
      </c>
      <c r="F19" s="82">
        <f t="shared" si="4"/>
        <v>14</v>
      </c>
      <c r="G19" s="85"/>
      <c r="H19" s="85"/>
      <c r="I19" s="528">
        <v>33</v>
      </c>
      <c r="J19" s="528">
        <v>232</v>
      </c>
      <c r="K19" s="23">
        <f t="shared" si="5"/>
        <v>265</v>
      </c>
      <c r="L19" s="528">
        <v>116</v>
      </c>
      <c r="M19" s="82">
        <f t="shared" si="6"/>
        <v>149</v>
      </c>
      <c r="N19" s="528">
        <v>16</v>
      </c>
      <c r="O19" s="528">
        <v>162</v>
      </c>
      <c r="P19" s="133">
        <f t="shared" si="0"/>
        <v>0.91975308641975306</v>
      </c>
      <c r="Q19" s="528">
        <v>85</v>
      </c>
      <c r="R19" s="528">
        <v>0</v>
      </c>
      <c r="S19" s="132">
        <v>1146418</v>
      </c>
      <c r="T19" s="24">
        <f t="shared" si="7"/>
        <v>1146418</v>
      </c>
      <c r="U19" s="132">
        <v>1128868</v>
      </c>
      <c r="V19" s="132">
        <v>17550</v>
      </c>
      <c r="W19" s="135">
        <f t="shared" si="1"/>
        <v>1.5308552377928469E-2</v>
      </c>
    </row>
    <row r="20" spans="1:23">
      <c r="A20" s="15">
        <v>2005</v>
      </c>
      <c r="B20" s="528">
        <v>8</v>
      </c>
      <c r="C20" s="528">
        <v>2</v>
      </c>
      <c r="D20" s="23">
        <f t="shared" si="2"/>
        <v>10</v>
      </c>
      <c r="E20" s="82">
        <f t="shared" si="3"/>
        <v>25</v>
      </c>
      <c r="F20" s="82">
        <f t="shared" si="4"/>
        <v>20</v>
      </c>
      <c r="G20" s="85"/>
      <c r="H20" s="85"/>
      <c r="I20" s="528">
        <v>58</v>
      </c>
      <c r="J20" s="528">
        <v>250</v>
      </c>
      <c r="K20" s="23">
        <f t="shared" si="5"/>
        <v>308</v>
      </c>
      <c r="L20" s="528">
        <v>141</v>
      </c>
      <c r="M20" s="82">
        <f t="shared" si="6"/>
        <v>199</v>
      </c>
      <c r="N20" s="528">
        <v>4</v>
      </c>
      <c r="O20" s="528">
        <v>199</v>
      </c>
      <c r="P20" s="133">
        <f t="shared" si="0"/>
        <v>1</v>
      </c>
      <c r="Q20" s="528">
        <v>104</v>
      </c>
      <c r="R20" s="528">
        <v>0</v>
      </c>
      <c r="S20" s="132">
        <v>1016814</v>
      </c>
      <c r="T20" s="24">
        <f t="shared" si="7"/>
        <v>1016814</v>
      </c>
      <c r="U20" s="132">
        <v>996389</v>
      </c>
      <c r="V20" s="132">
        <v>20425</v>
      </c>
      <c r="W20" s="135">
        <f t="shared" si="1"/>
        <v>2.008725292924763E-2</v>
      </c>
    </row>
    <row r="21" spans="1:23">
      <c r="A21" s="15">
        <v>2004</v>
      </c>
      <c r="B21" s="528">
        <v>8</v>
      </c>
      <c r="C21" s="528">
        <v>3</v>
      </c>
      <c r="D21" s="23">
        <f t="shared" si="2"/>
        <v>11</v>
      </c>
      <c r="E21" s="82">
        <f t="shared" si="3"/>
        <v>18</v>
      </c>
      <c r="F21" s="82">
        <f t="shared" si="4"/>
        <v>13</v>
      </c>
      <c r="G21" s="85"/>
      <c r="H21" s="85"/>
      <c r="I21" s="528">
        <v>40</v>
      </c>
      <c r="J21" s="528">
        <v>202</v>
      </c>
      <c r="K21" s="23">
        <f t="shared" si="5"/>
        <v>242</v>
      </c>
      <c r="L21" s="528">
        <v>100</v>
      </c>
      <c r="M21" s="82">
        <f t="shared" si="6"/>
        <v>140</v>
      </c>
      <c r="N21" s="528">
        <v>9</v>
      </c>
      <c r="O21" s="528">
        <v>140</v>
      </c>
      <c r="P21" s="133">
        <f t="shared" si="0"/>
        <v>1</v>
      </c>
      <c r="Q21" s="528">
        <v>87</v>
      </c>
      <c r="R21" s="528">
        <v>1</v>
      </c>
      <c r="S21" s="132">
        <v>949279</v>
      </c>
      <c r="T21" s="24">
        <f t="shared" si="7"/>
        <v>949279</v>
      </c>
      <c r="U21" s="132">
        <v>932054</v>
      </c>
      <c r="V21" s="132">
        <v>17225</v>
      </c>
      <c r="W21" s="135">
        <f t="shared" si="1"/>
        <v>1.8145350313237732E-2</v>
      </c>
    </row>
    <row r="22" spans="1:23">
      <c r="A22" s="15">
        <v>2003</v>
      </c>
      <c r="B22" s="528">
        <v>8</v>
      </c>
      <c r="C22" s="528">
        <v>2</v>
      </c>
      <c r="D22" s="23">
        <f t="shared" si="2"/>
        <v>10</v>
      </c>
      <c r="E22" s="82">
        <f t="shared" si="3"/>
        <v>24</v>
      </c>
      <c r="F22" s="82">
        <f t="shared" si="4"/>
        <v>19</v>
      </c>
      <c r="G22" s="85"/>
      <c r="H22" s="85"/>
      <c r="I22" s="528">
        <v>46</v>
      </c>
      <c r="J22" s="528">
        <v>237</v>
      </c>
      <c r="K22" s="23">
        <f t="shared" si="5"/>
        <v>283</v>
      </c>
      <c r="L22" s="528">
        <v>146</v>
      </c>
      <c r="M22" s="82">
        <v>191</v>
      </c>
      <c r="N22" s="528">
        <v>12</v>
      </c>
      <c r="O22" s="528">
        <v>192</v>
      </c>
      <c r="P22" s="133">
        <f t="shared" si="0"/>
        <v>0.99479166666666663</v>
      </c>
      <c r="Q22" s="528">
        <v>82</v>
      </c>
      <c r="R22" s="528">
        <v>0</v>
      </c>
      <c r="S22" s="132">
        <v>713384</v>
      </c>
      <c r="T22" s="24">
        <f t="shared" si="7"/>
        <v>713384</v>
      </c>
      <c r="U22" s="132">
        <v>692384</v>
      </c>
      <c r="V22" s="132">
        <v>21000</v>
      </c>
      <c r="W22" s="135">
        <f t="shared" si="1"/>
        <v>2.9437161472643063E-2</v>
      </c>
    </row>
    <row r="23" spans="1:23">
      <c r="A23" s="15">
        <v>2002</v>
      </c>
      <c r="B23" s="528">
        <v>8</v>
      </c>
      <c r="C23" s="528">
        <v>3</v>
      </c>
      <c r="D23" s="23">
        <f t="shared" si="2"/>
        <v>11</v>
      </c>
      <c r="E23" s="82">
        <f t="shared" si="3"/>
        <v>20</v>
      </c>
      <c r="F23" s="82">
        <f t="shared" si="4"/>
        <v>15</v>
      </c>
      <c r="G23" s="85"/>
      <c r="H23" s="85"/>
      <c r="I23" s="528">
        <v>44</v>
      </c>
      <c r="J23" s="528">
        <v>242</v>
      </c>
      <c r="K23" s="23">
        <f t="shared" si="5"/>
        <v>286</v>
      </c>
      <c r="L23" s="528">
        <f>ROUND(115.5, 0)</f>
        <v>116</v>
      </c>
      <c r="M23" s="82">
        <f>(I23+L23)</f>
        <v>160</v>
      </c>
      <c r="N23" s="528">
        <v>15</v>
      </c>
      <c r="O23" s="528">
        <f>ROUND(159.5, 0)</f>
        <v>160</v>
      </c>
      <c r="P23" s="133">
        <f t="shared" si="0"/>
        <v>1</v>
      </c>
      <c r="Q23" s="528">
        <v>66</v>
      </c>
      <c r="R23" s="528">
        <v>0</v>
      </c>
      <c r="S23" s="132">
        <v>533966</v>
      </c>
      <c r="T23" s="24">
        <f t="shared" si="7"/>
        <v>535016</v>
      </c>
      <c r="U23" s="132">
        <v>517966</v>
      </c>
      <c r="V23" s="132">
        <v>17050</v>
      </c>
      <c r="W23" s="135">
        <f t="shared" si="1"/>
        <v>3.1868205810667342E-2</v>
      </c>
    </row>
    <row r="24" spans="1:23" s="12" customFormat="1" ht="46.9" customHeight="1">
      <c r="A24" s="543" t="s">
        <v>152</v>
      </c>
      <c r="B24" s="552"/>
      <c r="C24" s="552"/>
      <c r="D24" s="552"/>
      <c r="E24" s="552"/>
      <c r="F24" s="552"/>
      <c r="G24" s="552"/>
      <c r="H24" s="552"/>
      <c r="I24" s="552"/>
      <c r="J24" s="552"/>
      <c r="K24" s="552"/>
      <c r="L24" s="552"/>
      <c r="M24" s="552"/>
      <c r="N24" s="552"/>
      <c r="O24" s="552"/>
      <c r="P24" s="552"/>
      <c r="Q24" s="552"/>
      <c r="R24" s="552"/>
      <c r="S24" s="552"/>
      <c r="T24" s="552"/>
      <c r="U24" s="552"/>
      <c r="V24" s="552"/>
      <c r="W24" s="553"/>
    </row>
    <row r="25" spans="1:23" s="12" customFormat="1"/>
    <row r="26" spans="1:23" s="12" customFormat="1"/>
    <row r="27" spans="1:23" s="12" customFormat="1"/>
    <row r="28" spans="1:23" s="12" customFormat="1"/>
    <row r="29" spans="1:23" s="12" customFormat="1"/>
    <row r="30" spans="1:23" s="12" customFormat="1"/>
    <row r="31" spans="1:23" s="12" customFormat="1"/>
    <row r="32" spans="1:23" s="12" customFormat="1"/>
    <row r="33" s="12" customFormat="1"/>
  </sheetData>
  <mergeCells count="1">
    <mergeCell ref="A24:W24"/>
  </mergeCells>
  <printOptions headings="1" gridLines="1"/>
  <pageMargins left="0.5" right="0.5" top="0.5" bottom="0.5" header="0" footer="0"/>
  <pageSetup paperSize="5" scale="61" orientation="landscape" r:id="rId1"/>
  <legacyDrawing r:id="rId2"/>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HL34"/>
  <sheetViews>
    <sheetView workbookViewId="0">
      <selection activeCell="G5" sqref="G5"/>
    </sheetView>
  </sheetViews>
  <sheetFormatPr defaultColWidth="8.85546875" defaultRowHeight="15"/>
  <cols>
    <col min="1" max="1" width="11"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2" width="12.7109375" bestFit="1" customWidth="1"/>
    <col min="23" max="23" width="12.85546875" bestFit="1" customWidth="1"/>
  </cols>
  <sheetData>
    <row r="1" spans="1:220" s="7" customFormat="1" ht="18.75">
      <c r="A1" s="1" t="s">
        <v>153</v>
      </c>
      <c r="B1" s="2"/>
      <c r="C1" s="1"/>
      <c r="D1" s="1"/>
      <c r="E1" s="1"/>
      <c r="F1" s="1"/>
      <c r="G1" s="1"/>
      <c r="H1" s="1"/>
      <c r="I1" s="1"/>
      <c r="J1" s="1"/>
      <c r="K1" s="1"/>
      <c r="L1" s="1"/>
      <c r="M1" s="1"/>
      <c r="N1" s="1"/>
      <c r="O1" s="1"/>
      <c r="P1" s="1"/>
      <c r="Q1" s="1"/>
      <c r="R1" s="1"/>
      <c r="S1" s="1"/>
      <c r="T1" s="1"/>
      <c r="U1" s="1"/>
      <c r="V1" s="1"/>
      <c r="W1" s="1"/>
    </row>
    <row r="2" spans="1:220" s="6" customFormat="1" ht="60">
      <c r="A2" s="21" t="s">
        <v>4</v>
      </c>
      <c r="B2" s="21" t="s">
        <v>5</v>
      </c>
      <c r="C2" s="21" t="s">
        <v>6</v>
      </c>
      <c r="D2" s="21" t="s">
        <v>7</v>
      </c>
      <c r="E2" s="5" t="s">
        <v>8</v>
      </c>
      <c r="F2" s="21" t="s">
        <v>9</v>
      </c>
      <c r="G2" s="5" t="s">
        <v>10</v>
      </c>
      <c r="H2" s="5" t="s">
        <v>11</v>
      </c>
      <c r="I2" s="21" t="s">
        <v>12</v>
      </c>
      <c r="J2" s="21" t="s">
        <v>13</v>
      </c>
      <c r="K2" s="21" t="s">
        <v>1</v>
      </c>
      <c r="L2" s="21" t="s">
        <v>14</v>
      </c>
      <c r="M2" s="21" t="s">
        <v>15</v>
      </c>
      <c r="N2" s="21" t="s">
        <v>16</v>
      </c>
      <c r="O2" s="21" t="s">
        <v>17</v>
      </c>
      <c r="P2" s="21" t="s">
        <v>18</v>
      </c>
      <c r="Q2" s="21" t="s">
        <v>2</v>
      </c>
      <c r="R2" s="21" t="s">
        <v>19</v>
      </c>
      <c r="S2" s="21" t="s">
        <v>20</v>
      </c>
      <c r="T2" s="21" t="s">
        <v>21</v>
      </c>
      <c r="U2" s="21" t="s">
        <v>22</v>
      </c>
      <c r="V2" s="21" t="s">
        <v>23</v>
      </c>
      <c r="W2" s="21" t="s">
        <v>24</v>
      </c>
    </row>
    <row r="3" spans="1:220" s="16" customFormat="1">
      <c r="A3" s="328">
        <v>2022</v>
      </c>
      <c r="B3" s="333">
        <v>33</v>
      </c>
      <c r="C3" s="333">
        <v>25.25</v>
      </c>
      <c r="D3" s="329">
        <f>SUM(B3:C3)</f>
        <v>58.25</v>
      </c>
      <c r="E3" s="330">
        <f>ROUND((O3/B3),0)</f>
        <v>37</v>
      </c>
      <c r="F3" s="329">
        <f>ROUND((O3/D3),0)</f>
        <v>21</v>
      </c>
      <c r="G3" s="334">
        <v>33</v>
      </c>
      <c r="H3" s="334">
        <v>25.25</v>
      </c>
      <c r="I3" s="333">
        <v>585</v>
      </c>
      <c r="J3" s="333">
        <v>580</v>
      </c>
      <c r="K3" s="329">
        <f>SUM(I3:J3)</f>
        <v>1165</v>
      </c>
      <c r="L3" s="333">
        <v>244</v>
      </c>
      <c r="M3" s="331">
        <f>(I3+L3)</f>
        <v>829</v>
      </c>
      <c r="N3" s="333">
        <v>284</v>
      </c>
      <c r="O3" s="333">
        <v>1220</v>
      </c>
      <c r="P3" s="332">
        <f>M3/O3</f>
        <v>0.67950819672131146</v>
      </c>
      <c r="Q3" s="333">
        <v>354</v>
      </c>
      <c r="R3" s="333">
        <v>265</v>
      </c>
      <c r="S3" s="356">
        <v>5978704</v>
      </c>
      <c r="T3" s="335">
        <f>SUM(U3:V3)</f>
        <v>8395308.4900000002</v>
      </c>
      <c r="U3" s="357">
        <v>4619441.2699999996</v>
      </c>
      <c r="V3" s="357">
        <v>3775867.22</v>
      </c>
      <c r="W3" s="332">
        <f>V3/T3</f>
        <v>0.44975919878317661</v>
      </c>
    </row>
    <row r="4" spans="1:220" s="16" customFormat="1">
      <c r="A4" s="328">
        <v>2021</v>
      </c>
      <c r="B4" s="333">
        <v>24</v>
      </c>
      <c r="C4" s="333">
        <v>21</v>
      </c>
      <c r="D4" s="329">
        <f>SUM(B4:C4)</f>
        <v>45</v>
      </c>
      <c r="E4" s="330">
        <f>ROUND((O4/B4),0)</f>
        <v>46</v>
      </c>
      <c r="F4" s="329">
        <f>ROUND((O4/D4),0)</f>
        <v>25</v>
      </c>
      <c r="G4" s="334">
        <v>24</v>
      </c>
      <c r="H4" s="334">
        <v>21</v>
      </c>
      <c r="I4" s="333">
        <v>385</v>
      </c>
      <c r="J4" s="333">
        <v>637</v>
      </c>
      <c r="K4" s="329">
        <f>SUM(I4:J4)</f>
        <v>1022</v>
      </c>
      <c r="L4" s="333">
        <v>274</v>
      </c>
      <c r="M4" s="331">
        <f>(I4+L4)</f>
        <v>659</v>
      </c>
      <c r="N4" s="333">
        <v>278</v>
      </c>
      <c r="O4" s="333">
        <v>1108</v>
      </c>
      <c r="P4" s="332">
        <f>M4/O4</f>
        <v>0.59476534296028882</v>
      </c>
      <c r="Q4" s="333">
        <v>347</v>
      </c>
      <c r="R4" s="333">
        <v>197</v>
      </c>
      <c r="S4" s="356">
        <v>4384630.05</v>
      </c>
      <c r="T4" s="335">
        <f>SUM(U4:V4)</f>
        <v>5956367.5200000005</v>
      </c>
      <c r="U4" s="357">
        <v>5268685.87</v>
      </c>
      <c r="V4" s="357">
        <v>687681.65</v>
      </c>
      <c r="W4" s="332">
        <f>V4/T4</f>
        <v>0.11545319319046989</v>
      </c>
    </row>
    <row r="5" spans="1:220" s="16" customFormat="1">
      <c r="A5" s="328">
        <v>2020</v>
      </c>
      <c r="B5" s="333">
        <v>21</v>
      </c>
      <c r="C5" s="333">
        <v>19.5</v>
      </c>
      <c r="D5" s="329">
        <f>SUM(B5:C5)</f>
        <v>40.5</v>
      </c>
      <c r="E5" s="330">
        <f>ROUND((O5/B5),0)</f>
        <v>41</v>
      </c>
      <c r="F5" s="329">
        <f>ROUND((O5/D5),0)</f>
        <v>21</v>
      </c>
      <c r="G5" s="334">
        <v>21</v>
      </c>
      <c r="H5" s="334">
        <v>19.5</v>
      </c>
      <c r="I5" s="333">
        <v>24</v>
      </c>
      <c r="J5" s="333">
        <v>854</v>
      </c>
      <c r="K5" s="329">
        <f>SUM(I5:J5)</f>
        <v>878</v>
      </c>
      <c r="L5" s="333">
        <v>442.41699999999997</v>
      </c>
      <c r="M5" s="331">
        <f>(I5+L5)</f>
        <v>466.41699999999997</v>
      </c>
      <c r="N5" s="333">
        <v>265</v>
      </c>
      <c r="O5" s="333">
        <v>854.08900000000006</v>
      </c>
      <c r="P5" s="332">
        <f>M5/O5</f>
        <v>0.54609882576640134</v>
      </c>
      <c r="Q5" s="333">
        <v>305</v>
      </c>
      <c r="R5" s="333">
        <v>82</v>
      </c>
      <c r="S5" s="356">
        <v>4988768.37</v>
      </c>
      <c r="T5" s="335">
        <f>SUM(U5:V5)</f>
        <v>6022276.7699999996</v>
      </c>
      <c r="U5" s="357">
        <v>5471976.5499999998</v>
      </c>
      <c r="V5" s="357">
        <v>550300.22</v>
      </c>
      <c r="W5" s="332">
        <f>V5/T5</f>
        <v>9.137743763975166E-2</v>
      </c>
    </row>
    <row r="6" spans="1:220" s="16" customFormat="1">
      <c r="A6" s="328">
        <v>2019</v>
      </c>
      <c r="B6" s="333">
        <v>21</v>
      </c>
      <c r="C6" s="333">
        <v>15.25</v>
      </c>
      <c r="D6" s="329">
        <f>SUM(B6:C6)</f>
        <v>36.25</v>
      </c>
      <c r="E6" s="330">
        <f>ROUND((O6/B6),0)</f>
        <v>32</v>
      </c>
      <c r="F6" s="329">
        <f>ROUND((O6/D6),0)</f>
        <v>18</v>
      </c>
      <c r="G6" s="334">
        <v>21</v>
      </c>
      <c r="H6" s="334">
        <v>15.25</v>
      </c>
      <c r="I6" s="333">
        <v>170</v>
      </c>
      <c r="J6" s="333">
        <v>529</v>
      </c>
      <c r="K6" s="329">
        <f>SUM(I6:J6)</f>
        <v>699</v>
      </c>
      <c r="L6" s="333">
        <v>221</v>
      </c>
      <c r="M6" s="331">
        <f>(I6+L6)</f>
        <v>391</v>
      </c>
      <c r="N6" s="333">
        <v>212</v>
      </c>
      <c r="O6" s="333">
        <v>670.1</v>
      </c>
      <c r="P6" s="332">
        <f>M6/O6</f>
        <v>0.58349500074615723</v>
      </c>
      <c r="Q6" s="333">
        <v>338</v>
      </c>
      <c r="R6" s="333">
        <v>76</v>
      </c>
      <c r="S6" s="333">
        <v>5171916</v>
      </c>
      <c r="T6" s="335">
        <f>SUM(U6:V6)</f>
        <v>6757458</v>
      </c>
      <c r="U6" s="357">
        <v>3125425</v>
      </c>
      <c r="V6" s="357">
        <v>3632033</v>
      </c>
      <c r="W6" s="332">
        <f>V6/T6</f>
        <v>0.53748510164621077</v>
      </c>
    </row>
    <row r="7" spans="1:220" s="14" customFormat="1">
      <c r="A7" s="10">
        <v>2018</v>
      </c>
      <c r="B7" s="17">
        <v>22</v>
      </c>
      <c r="C7" s="17">
        <v>13.5</v>
      </c>
      <c r="D7" s="23">
        <f>SUM(B7:C7)</f>
        <v>35.5</v>
      </c>
      <c r="E7" s="82">
        <f>ROUND((O7/B7), 0)</f>
        <v>26</v>
      </c>
      <c r="F7" s="82">
        <f>ROUND((O7/D7), 0)</f>
        <v>16</v>
      </c>
      <c r="G7" s="17">
        <v>22</v>
      </c>
      <c r="H7" s="17">
        <v>13.5</v>
      </c>
      <c r="I7" s="17">
        <v>166</v>
      </c>
      <c r="J7" s="17">
        <v>511</v>
      </c>
      <c r="K7" s="23">
        <f>SUM(I7:J7)</f>
        <v>677</v>
      </c>
      <c r="L7" s="17">
        <v>216.14</v>
      </c>
      <c r="M7" s="82">
        <f>(I7+L7)</f>
        <v>382.14</v>
      </c>
      <c r="N7" s="17">
        <v>199</v>
      </c>
      <c r="O7" s="17">
        <v>577.69000000000005</v>
      </c>
      <c r="P7" s="133">
        <f>M7/O7</f>
        <v>0.66149665045266481</v>
      </c>
      <c r="Q7" s="17">
        <v>439</v>
      </c>
      <c r="R7" s="17">
        <v>39</v>
      </c>
      <c r="S7" s="20">
        <v>4892502</v>
      </c>
      <c r="T7" s="24">
        <f>SUM(U7:V7)</f>
        <v>12798182.859999999</v>
      </c>
      <c r="U7" s="20">
        <v>2583368</v>
      </c>
      <c r="V7" s="20">
        <v>10214814.859999999</v>
      </c>
      <c r="W7" s="135">
        <f>V7/T7</f>
        <v>0.79814571894622854</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21</v>
      </c>
      <c r="C8" s="17">
        <v>14</v>
      </c>
      <c r="D8" s="27">
        <f t="shared" ref="D8:D23" si="0">SUM(B8:C8)</f>
        <v>35</v>
      </c>
      <c r="E8" s="27">
        <f t="shared" ref="E8:E23" si="1">ROUND((O8/B8), 0)</f>
        <v>29</v>
      </c>
      <c r="F8" s="27">
        <f t="shared" ref="F8:F23" si="2">ROUND((O8/D8), 0)</f>
        <v>18</v>
      </c>
      <c r="G8" s="17">
        <v>21</v>
      </c>
      <c r="H8" s="17">
        <v>14</v>
      </c>
      <c r="I8" s="17">
        <v>230</v>
      </c>
      <c r="J8" s="17">
        <v>543</v>
      </c>
      <c r="K8" s="27">
        <f t="shared" ref="K8:K23" si="3">SUM(I8:J8)</f>
        <v>773</v>
      </c>
      <c r="L8" s="17">
        <v>235</v>
      </c>
      <c r="M8" s="29">
        <f t="shared" ref="M8:M23" si="4">(I8+L8)</f>
        <v>465</v>
      </c>
      <c r="N8" s="255">
        <v>230</v>
      </c>
      <c r="O8" s="260">
        <v>614.65</v>
      </c>
      <c r="P8" s="133">
        <f t="shared" ref="P8:P23" si="5">M8/O8</f>
        <v>0.75652810542585214</v>
      </c>
      <c r="Q8" s="17">
        <v>312</v>
      </c>
      <c r="R8" s="17">
        <v>32</v>
      </c>
      <c r="S8" s="223">
        <v>5034665.1100000003</v>
      </c>
      <c r="T8" s="28">
        <f t="shared" ref="T8:T23" si="6">SUM(U8:V8)</f>
        <v>10657924.550000001</v>
      </c>
      <c r="U8" s="252">
        <v>2125085.9900000002</v>
      </c>
      <c r="V8" s="20">
        <v>8532838.5600000005</v>
      </c>
      <c r="W8" s="135">
        <f t="shared" ref="W8:W23" si="7">V8/T8</f>
        <v>0.80060977350416684</v>
      </c>
    </row>
    <row r="9" spans="1:220" s="80" customFormat="1">
      <c r="A9" s="10">
        <v>2016</v>
      </c>
      <c r="B9" s="54">
        <v>18</v>
      </c>
      <c r="C9" s="54">
        <v>14</v>
      </c>
      <c r="D9" s="65">
        <f t="shared" si="0"/>
        <v>32</v>
      </c>
      <c r="E9" s="13">
        <f t="shared" si="1"/>
        <v>32</v>
      </c>
      <c r="F9" s="13">
        <f t="shared" si="2"/>
        <v>18</v>
      </c>
      <c r="G9" s="54">
        <v>18</v>
      </c>
      <c r="H9" s="54">
        <v>14</v>
      </c>
      <c r="I9" s="54">
        <v>214</v>
      </c>
      <c r="J9" s="54">
        <v>561</v>
      </c>
      <c r="K9" s="23">
        <f t="shared" si="3"/>
        <v>775</v>
      </c>
      <c r="L9" s="54">
        <v>243</v>
      </c>
      <c r="M9" s="82">
        <f t="shared" si="4"/>
        <v>457</v>
      </c>
      <c r="N9" s="54">
        <v>225</v>
      </c>
      <c r="O9" s="54">
        <v>572.84</v>
      </c>
      <c r="P9" s="133">
        <f t="shared" si="5"/>
        <v>0.79777948467285797</v>
      </c>
      <c r="Q9" s="54">
        <v>246</v>
      </c>
      <c r="R9" s="54">
        <v>27</v>
      </c>
      <c r="S9" s="55">
        <v>5238954</v>
      </c>
      <c r="T9" s="24">
        <f t="shared" si="6"/>
        <v>9858312</v>
      </c>
      <c r="U9" s="55">
        <v>3490498</v>
      </c>
      <c r="V9" s="55">
        <v>6367814</v>
      </c>
      <c r="W9" s="135">
        <f t="shared" si="7"/>
        <v>0.64593350261180615</v>
      </c>
    </row>
    <row r="10" spans="1:220" s="16" customFormat="1">
      <c r="A10" s="57">
        <v>2015</v>
      </c>
      <c r="B10" s="70">
        <v>19</v>
      </c>
      <c r="C10" s="70">
        <v>11.75</v>
      </c>
      <c r="D10" s="65">
        <f t="shared" si="0"/>
        <v>30.75</v>
      </c>
      <c r="E10" s="13">
        <f t="shared" si="1"/>
        <v>25</v>
      </c>
      <c r="F10" s="13">
        <f t="shared" si="2"/>
        <v>15</v>
      </c>
      <c r="G10" s="83"/>
      <c r="H10" s="83"/>
      <c r="I10" s="70">
        <v>147</v>
      </c>
      <c r="J10" s="70">
        <v>508</v>
      </c>
      <c r="K10" s="23">
        <f t="shared" si="3"/>
        <v>655</v>
      </c>
      <c r="L10" s="70">
        <v>212</v>
      </c>
      <c r="M10" s="82">
        <f t="shared" si="4"/>
        <v>359</v>
      </c>
      <c r="N10" s="70">
        <v>196</v>
      </c>
      <c r="O10" s="70">
        <v>469.7</v>
      </c>
      <c r="P10" s="133">
        <f t="shared" si="5"/>
        <v>0.76431764956355119</v>
      </c>
      <c r="Q10" s="70">
        <v>311</v>
      </c>
      <c r="R10" s="70">
        <v>20</v>
      </c>
      <c r="S10" s="78">
        <v>5525274</v>
      </c>
      <c r="T10" s="24">
        <f t="shared" si="6"/>
        <v>8860411</v>
      </c>
      <c r="U10" s="78">
        <v>2962076</v>
      </c>
      <c r="V10" s="78">
        <v>5898335</v>
      </c>
      <c r="W10" s="135">
        <f t="shared" si="7"/>
        <v>0.66569541751505656</v>
      </c>
    </row>
    <row r="11" spans="1:220" s="16" customFormat="1">
      <c r="A11" s="15">
        <v>2014</v>
      </c>
      <c r="B11" s="54">
        <v>20</v>
      </c>
      <c r="C11" s="54">
        <v>8.75</v>
      </c>
      <c r="D11" s="65">
        <f t="shared" si="0"/>
        <v>28.75</v>
      </c>
      <c r="E11" s="13">
        <f t="shared" si="1"/>
        <v>16</v>
      </c>
      <c r="F11" s="13">
        <f t="shared" si="2"/>
        <v>11</v>
      </c>
      <c r="G11" s="83"/>
      <c r="H11" s="83"/>
      <c r="I11" s="54">
        <v>81</v>
      </c>
      <c r="J11" s="54">
        <v>417</v>
      </c>
      <c r="K11" s="23">
        <f t="shared" si="3"/>
        <v>498</v>
      </c>
      <c r="L11" s="194">
        <v>169.58</v>
      </c>
      <c r="M11" s="82">
        <f t="shared" si="4"/>
        <v>250.58</v>
      </c>
      <c r="N11" s="54">
        <v>150</v>
      </c>
      <c r="O11" s="194">
        <v>329</v>
      </c>
      <c r="P11" s="133">
        <f t="shared" si="5"/>
        <v>0.76164133738601825</v>
      </c>
      <c r="Q11" s="54">
        <v>311</v>
      </c>
      <c r="R11" s="54">
        <v>20</v>
      </c>
      <c r="S11" s="110">
        <v>5138824</v>
      </c>
      <c r="T11" s="24">
        <f t="shared" si="6"/>
        <v>7870461</v>
      </c>
      <c r="U11" s="110">
        <v>1789888</v>
      </c>
      <c r="V11" s="110">
        <v>6080573</v>
      </c>
      <c r="W11" s="135">
        <f t="shared" si="7"/>
        <v>0.77258155526086714</v>
      </c>
    </row>
    <row r="12" spans="1:220">
      <c r="A12" s="81">
        <v>2013</v>
      </c>
      <c r="B12" s="195">
        <v>19</v>
      </c>
      <c r="C12" s="195">
        <v>7.75</v>
      </c>
      <c r="D12" s="65">
        <f t="shared" si="0"/>
        <v>26.75</v>
      </c>
      <c r="E12" s="13">
        <f t="shared" si="1"/>
        <v>28</v>
      </c>
      <c r="F12" s="13">
        <f t="shared" si="2"/>
        <v>20</v>
      </c>
      <c r="G12" s="85"/>
      <c r="H12" s="85"/>
      <c r="I12" s="195">
        <v>171</v>
      </c>
      <c r="J12" s="195">
        <v>416</v>
      </c>
      <c r="K12" s="23">
        <f t="shared" si="3"/>
        <v>587</v>
      </c>
      <c r="L12" s="196">
        <v>165.5</v>
      </c>
      <c r="M12" s="82">
        <f t="shared" si="4"/>
        <v>336.5</v>
      </c>
      <c r="N12" s="195">
        <v>27</v>
      </c>
      <c r="O12" s="195">
        <v>535.44000000000005</v>
      </c>
      <c r="P12" s="133">
        <f t="shared" si="5"/>
        <v>0.62845510234573432</v>
      </c>
      <c r="Q12" s="195">
        <v>58</v>
      </c>
      <c r="R12" s="195">
        <v>16</v>
      </c>
      <c r="S12" s="197">
        <v>5261139</v>
      </c>
      <c r="T12" s="24">
        <f t="shared" si="6"/>
        <v>10122137</v>
      </c>
      <c r="U12" s="197">
        <v>3982001</v>
      </c>
      <c r="V12" s="197">
        <v>6140136</v>
      </c>
      <c r="W12" s="135">
        <f t="shared" si="7"/>
        <v>0.60660471202869515</v>
      </c>
    </row>
    <row r="13" spans="1:220">
      <c r="A13" s="81">
        <v>2012</v>
      </c>
      <c r="B13" s="195">
        <v>19</v>
      </c>
      <c r="C13" s="195">
        <v>23</v>
      </c>
      <c r="D13" s="65">
        <f t="shared" si="0"/>
        <v>42</v>
      </c>
      <c r="E13" s="13">
        <f t="shared" si="1"/>
        <v>51</v>
      </c>
      <c r="F13" s="13">
        <f t="shared" si="2"/>
        <v>23</v>
      </c>
      <c r="G13" s="85"/>
      <c r="H13" s="85"/>
      <c r="I13" s="195">
        <v>139</v>
      </c>
      <c r="J13" s="195">
        <v>525</v>
      </c>
      <c r="K13" s="23">
        <f t="shared" si="3"/>
        <v>664</v>
      </c>
      <c r="L13" s="196">
        <v>211</v>
      </c>
      <c r="M13" s="82">
        <f t="shared" si="4"/>
        <v>350</v>
      </c>
      <c r="N13" s="195">
        <v>186</v>
      </c>
      <c r="O13" s="195">
        <v>974.61</v>
      </c>
      <c r="P13" s="133">
        <f t="shared" si="5"/>
        <v>0.35911800617682971</v>
      </c>
      <c r="Q13" s="195">
        <v>485</v>
      </c>
      <c r="R13" s="195">
        <v>113</v>
      </c>
      <c r="S13" s="197">
        <v>5209502</v>
      </c>
      <c r="T13" s="24">
        <f t="shared" si="6"/>
        <v>5315905</v>
      </c>
      <c r="U13" s="197">
        <v>3940010</v>
      </c>
      <c r="V13" s="197">
        <v>1375895</v>
      </c>
      <c r="W13" s="135">
        <f t="shared" si="7"/>
        <v>0.25882610769003583</v>
      </c>
    </row>
    <row r="14" spans="1:220">
      <c r="A14" s="81">
        <v>2011</v>
      </c>
      <c r="B14" s="195">
        <v>19</v>
      </c>
      <c r="C14" s="195">
        <v>11.75</v>
      </c>
      <c r="D14" s="65">
        <f t="shared" si="0"/>
        <v>30.75</v>
      </c>
      <c r="E14" s="13">
        <f t="shared" si="1"/>
        <v>27</v>
      </c>
      <c r="F14" s="13">
        <f t="shared" si="2"/>
        <v>17</v>
      </c>
      <c r="G14" s="85"/>
      <c r="H14" s="85"/>
      <c r="I14" s="195">
        <v>163</v>
      </c>
      <c r="J14" s="195">
        <v>654</v>
      </c>
      <c r="K14" s="23">
        <f t="shared" si="3"/>
        <v>817</v>
      </c>
      <c r="L14" s="195">
        <v>270.25</v>
      </c>
      <c r="M14" s="82">
        <f t="shared" si="4"/>
        <v>433.25</v>
      </c>
      <c r="N14" s="195">
        <v>204</v>
      </c>
      <c r="O14" s="195">
        <v>510.46</v>
      </c>
      <c r="P14" s="133">
        <f t="shared" si="5"/>
        <v>0.84874426987423113</v>
      </c>
      <c r="Q14" s="195">
        <v>501</v>
      </c>
      <c r="R14" s="195">
        <v>20</v>
      </c>
      <c r="S14" s="197">
        <v>6299625</v>
      </c>
      <c r="T14" s="24">
        <f t="shared" si="6"/>
        <v>9489348</v>
      </c>
      <c r="U14" s="197">
        <v>2980469</v>
      </c>
      <c r="V14" s="197">
        <v>6508879</v>
      </c>
      <c r="W14" s="135">
        <f t="shared" si="7"/>
        <v>0.68591424827079794</v>
      </c>
    </row>
    <row r="15" spans="1:220">
      <c r="A15" s="81">
        <v>2010</v>
      </c>
      <c r="B15" s="195">
        <v>22</v>
      </c>
      <c r="C15" s="195">
        <v>6.8</v>
      </c>
      <c r="D15" s="65">
        <f t="shared" si="0"/>
        <v>28.8</v>
      </c>
      <c r="E15" s="13">
        <f t="shared" si="1"/>
        <v>27</v>
      </c>
      <c r="F15" s="13">
        <f t="shared" si="2"/>
        <v>20</v>
      </c>
      <c r="G15" s="85"/>
      <c r="H15" s="85"/>
      <c r="I15" s="195">
        <v>139</v>
      </c>
      <c r="J15" s="195">
        <v>1049</v>
      </c>
      <c r="K15" s="23">
        <f t="shared" si="3"/>
        <v>1188</v>
      </c>
      <c r="L15" s="195">
        <v>363.83</v>
      </c>
      <c r="M15" s="82">
        <f t="shared" si="4"/>
        <v>502.83</v>
      </c>
      <c r="N15" s="195">
        <v>233</v>
      </c>
      <c r="O15" s="195">
        <v>587.88</v>
      </c>
      <c r="P15" s="133">
        <f t="shared" si="5"/>
        <v>0.85532761788120026</v>
      </c>
      <c r="Q15" s="195">
        <v>448</v>
      </c>
      <c r="R15" s="195">
        <v>12</v>
      </c>
      <c r="S15" s="197">
        <v>6233462</v>
      </c>
      <c r="T15" s="24">
        <f t="shared" si="6"/>
        <v>9527136</v>
      </c>
      <c r="U15" s="197">
        <v>2974160</v>
      </c>
      <c r="V15" s="197">
        <v>6552976</v>
      </c>
      <c r="W15" s="135">
        <f t="shared" si="7"/>
        <v>0.68782223744890381</v>
      </c>
    </row>
    <row r="16" spans="1:220">
      <c r="A16" s="81">
        <v>2009</v>
      </c>
      <c r="B16" s="195">
        <v>19</v>
      </c>
      <c r="C16" s="195">
        <v>6.4</v>
      </c>
      <c r="D16" s="65">
        <f t="shared" si="0"/>
        <v>25.4</v>
      </c>
      <c r="E16" s="13">
        <f t="shared" si="1"/>
        <v>30</v>
      </c>
      <c r="F16" s="13">
        <f t="shared" si="2"/>
        <v>22</v>
      </c>
      <c r="G16" s="85"/>
      <c r="H16" s="85"/>
      <c r="I16" s="195">
        <v>136</v>
      </c>
      <c r="J16" s="195">
        <v>918</v>
      </c>
      <c r="K16" s="23">
        <f t="shared" si="3"/>
        <v>1054</v>
      </c>
      <c r="L16" s="195">
        <v>365</v>
      </c>
      <c r="M16" s="82">
        <f t="shared" si="4"/>
        <v>501</v>
      </c>
      <c r="N16" s="195">
        <v>250</v>
      </c>
      <c r="O16" s="195">
        <v>560.54999999999995</v>
      </c>
      <c r="P16" s="133">
        <f t="shared" si="5"/>
        <v>0.89376505218089386</v>
      </c>
      <c r="Q16" s="195">
        <v>341</v>
      </c>
      <c r="R16" s="195">
        <v>12</v>
      </c>
      <c r="S16" s="197">
        <v>5565260</v>
      </c>
      <c r="T16" s="24">
        <f t="shared" si="6"/>
        <v>8984033</v>
      </c>
      <c r="U16" s="197">
        <v>2832534</v>
      </c>
      <c r="V16" s="197">
        <v>6151499</v>
      </c>
      <c r="W16" s="135">
        <f t="shared" si="7"/>
        <v>0.68471464875518595</v>
      </c>
    </row>
    <row r="17" spans="1:23">
      <c r="A17" s="81">
        <v>2008</v>
      </c>
      <c r="B17" s="195">
        <v>18</v>
      </c>
      <c r="C17" s="195">
        <v>12.2</v>
      </c>
      <c r="D17" s="65">
        <f t="shared" si="0"/>
        <v>30.2</v>
      </c>
      <c r="E17" s="13">
        <f t="shared" si="1"/>
        <v>26</v>
      </c>
      <c r="F17" s="13">
        <f t="shared" si="2"/>
        <v>15</v>
      </c>
      <c r="G17" s="85"/>
      <c r="H17" s="85"/>
      <c r="I17" s="195">
        <v>82</v>
      </c>
      <c r="J17" s="195">
        <v>814</v>
      </c>
      <c r="K17" s="23">
        <f t="shared" si="3"/>
        <v>896</v>
      </c>
      <c r="L17" s="195">
        <v>314.08</v>
      </c>
      <c r="M17" s="82">
        <f t="shared" si="4"/>
        <v>396.08</v>
      </c>
      <c r="N17" s="195">
        <v>208</v>
      </c>
      <c r="O17" s="195">
        <v>462.74</v>
      </c>
      <c r="P17" s="133">
        <f t="shared" si="5"/>
        <v>0.85594502312313603</v>
      </c>
      <c r="Q17" s="195">
        <v>334</v>
      </c>
      <c r="R17" s="195">
        <v>12</v>
      </c>
      <c r="S17" s="197">
        <v>5116853</v>
      </c>
      <c r="T17" s="24">
        <f t="shared" si="6"/>
        <v>8558007</v>
      </c>
      <c r="U17" s="197">
        <v>2721423</v>
      </c>
      <c r="V17" s="197">
        <v>5836584</v>
      </c>
      <c r="W17" s="135">
        <f t="shared" si="7"/>
        <v>0.68200271394963807</v>
      </c>
    </row>
    <row r="18" spans="1:23">
      <c r="A18" s="81">
        <v>2007</v>
      </c>
      <c r="B18" s="195">
        <v>18</v>
      </c>
      <c r="C18" s="195">
        <v>11.6</v>
      </c>
      <c r="D18" s="65">
        <f t="shared" si="0"/>
        <v>29.6</v>
      </c>
      <c r="E18" s="13">
        <f t="shared" si="1"/>
        <v>36</v>
      </c>
      <c r="F18" s="13">
        <f t="shared" si="2"/>
        <v>22</v>
      </c>
      <c r="G18" s="85"/>
      <c r="H18" s="85"/>
      <c r="I18" s="195">
        <v>123</v>
      </c>
      <c r="J18" s="195">
        <v>922</v>
      </c>
      <c r="K18" s="23">
        <f t="shared" si="3"/>
        <v>1045</v>
      </c>
      <c r="L18" s="195">
        <v>479</v>
      </c>
      <c r="M18" s="82">
        <f t="shared" si="4"/>
        <v>602</v>
      </c>
      <c r="N18" s="195">
        <v>206</v>
      </c>
      <c r="O18" s="195">
        <v>648</v>
      </c>
      <c r="P18" s="133">
        <f t="shared" si="5"/>
        <v>0.92901234567901236</v>
      </c>
      <c r="Q18" s="195">
        <v>374</v>
      </c>
      <c r="R18" s="195">
        <v>57</v>
      </c>
      <c r="S18" s="198">
        <v>5105921</v>
      </c>
      <c r="T18" s="24">
        <f t="shared" si="6"/>
        <v>8165304</v>
      </c>
      <c r="U18" s="199">
        <v>2655400</v>
      </c>
      <c r="V18" s="199">
        <v>5509904</v>
      </c>
      <c r="W18" s="135">
        <f t="shared" si="7"/>
        <v>0.67479471676743452</v>
      </c>
    </row>
    <row r="19" spans="1:23">
      <c r="A19" s="81">
        <v>2006</v>
      </c>
      <c r="B19" s="195">
        <v>14</v>
      </c>
      <c r="C19" s="195">
        <v>10</v>
      </c>
      <c r="D19" s="65">
        <f t="shared" si="0"/>
        <v>24</v>
      </c>
      <c r="E19" s="13">
        <f t="shared" si="1"/>
        <v>46</v>
      </c>
      <c r="F19" s="13">
        <f t="shared" si="2"/>
        <v>27</v>
      </c>
      <c r="G19" s="85"/>
      <c r="H19" s="85"/>
      <c r="I19" s="195">
        <v>133</v>
      </c>
      <c r="J19" s="195">
        <v>837</v>
      </c>
      <c r="K19" s="23">
        <f t="shared" si="3"/>
        <v>970</v>
      </c>
      <c r="L19" s="195">
        <v>439</v>
      </c>
      <c r="M19" s="82">
        <f t="shared" si="4"/>
        <v>572</v>
      </c>
      <c r="N19" s="195">
        <v>180</v>
      </c>
      <c r="O19" s="195">
        <v>646</v>
      </c>
      <c r="P19" s="133">
        <f t="shared" si="5"/>
        <v>0.88544891640866874</v>
      </c>
      <c r="Q19" s="195">
        <v>249</v>
      </c>
      <c r="R19" s="195">
        <v>22</v>
      </c>
      <c r="S19" s="200">
        <v>5111118</v>
      </c>
      <c r="T19" s="24">
        <f t="shared" si="6"/>
        <v>8280013</v>
      </c>
      <c r="U19" s="201">
        <v>2629900</v>
      </c>
      <c r="V19" s="201">
        <v>5650113</v>
      </c>
      <c r="W19" s="135">
        <f t="shared" si="7"/>
        <v>0.68237972573231465</v>
      </c>
    </row>
    <row r="20" spans="1:23">
      <c r="A20" s="81">
        <v>2005</v>
      </c>
      <c r="B20" s="195">
        <v>15</v>
      </c>
      <c r="C20" s="195">
        <v>8</v>
      </c>
      <c r="D20" s="65">
        <f t="shared" si="0"/>
        <v>23</v>
      </c>
      <c r="E20" s="13">
        <f t="shared" si="1"/>
        <v>40</v>
      </c>
      <c r="F20" s="13">
        <f t="shared" si="2"/>
        <v>26</v>
      </c>
      <c r="G20" s="85"/>
      <c r="H20" s="85"/>
      <c r="I20" s="195">
        <v>125</v>
      </c>
      <c r="J20" s="195">
        <v>739</v>
      </c>
      <c r="K20" s="23">
        <f t="shared" si="3"/>
        <v>864</v>
      </c>
      <c r="L20" s="195">
        <v>390</v>
      </c>
      <c r="M20" s="82">
        <f t="shared" si="4"/>
        <v>515</v>
      </c>
      <c r="N20" s="195">
        <v>161</v>
      </c>
      <c r="O20" s="195">
        <v>599</v>
      </c>
      <c r="P20" s="133">
        <f t="shared" si="5"/>
        <v>0.85976627712854758</v>
      </c>
      <c r="Q20" s="195">
        <v>249</v>
      </c>
      <c r="R20" s="195">
        <v>22</v>
      </c>
      <c r="S20" s="201">
        <v>5887902</v>
      </c>
      <c r="T20" s="24">
        <f t="shared" si="6"/>
        <v>8388371</v>
      </c>
      <c r="U20" s="201">
        <v>2713423</v>
      </c>
      <c r="V20" s="201">
        <v>5674948</v>
      </c>
      <c r="W20" s="135">
        <f t="shared" si="7"/>
        <v>0.67652563292682211</v>
      </c>
    </row>
    <row r="21" spans="1:23">
      <c r="A21" s="81">
        <v>2004</v>
      </c>
      <c r="B21" s="195">
        <v>16</v>
      </c>
      <c r="C21" s="195">
        <v>5.5</v>
      </c>
      <c r="D21" s="65">
        <f t="shared" si="0"/>
        <v>21.5</v>
      </c>
      <c r="E21" s="13">
        <f t="shared" si="1"/>
        <v>32</v>
      </c>
      <c r="F21" s="13">
        <f t="shared" si="2"/>
        <v>24</v>
      </c>
      <c r="G21" s="85"/>
      <c r="H21" s="85"/>
      <c r="I21" s="195">
        <v>116</v>
      </c>
      <c r="J21" s="195">
        <v>509</v>
      </c>
      <c r="K21" s="23">
        <f t="shared" si="3"/>
        <v>625</v>
      </c>
      <c r="L21" s="195">
        <v>340</v>
      </c>
      <c r="M21" s="82">
        <f t="shared" si="4"/>
        <v>456</v>
      </c>
      <c r="N21" s="195">
        <v>108</v>
      </c>
      <c r="O21" s="195">
        <v>511</v>
      </c>
      <c r="P21" s="133">
        <f t="shared" si="5"/>
        <v>0.89236790606653615</v>
      </c>
      <c r="Q21" s="195">
        <v>201</v>
      </c>
      <c r="R21" s="195">
        <v>10</v>
      </c>
      <c r="S21" s="201">
        <v>5470855</v>
      </c>
      <c r="T21" s="24">
        <f t="shared" si="6"/>
        <v>8265305</v>
      </c>
      <c r="U21" s="201">
        <v>2464141</v>
      </c>
      <c r="V21" s="201">
        <v>5801164</v>
      </c>
      <c r="W21" s="135">
        <f t="shared" si="7"/>
        <v>0.70186932000694469</v>
      </c>
    </row>
    <row r="22" spans="1:23">
      <c r="A22" s="81">
        <v>2003</v>
      </c>
      <c r="B22" s="195">
        <v>14</v>
      </c>
      <c r="C22" s="195">
        <v>6</v>
      </c>
      <c r="D22" s="65">
        <f t="shared" si="0"/>
        <v>20</v>
      </c>
      <c r="E22" s="13">
        <f t="shared" si="1"/>
        <v>40</v>
      </c>
      <c r="F22" s="13">
        <f t="shared" si="2"/>
        <v>28</v>
      </c>
      <c r="G22" s="85"/>
      <c r="H22" s="85"/>
      <c r="I22" s="195">
        <v>126</v>
      </c>
      <c r="J22" s="195">
        <v>645</v>
      </c>
      <c r="K22" s="23">
        <f t="shared" si="3"/>
        <v>771</v>
      </c>
      <c r="L22" s="195">
        <v>340</v>
      </c>
      <c r="M22" s="82">
        <f t="shared" si="4"/>
        <v>466</v>
      </c>
      <c r="N22" s="195">
        <v>108</v>
      </c>
      <c r="O22" s="195">
        <v>565</v>
      </c>
      <c r="P22" s="133">
        <f t="shared" si="5"/>
        <v>0.82477876106194692</v>
      </c>
      <c r="Q22" s="195">
        <v>201</v>
      </c>
      <c r="R22" s="195">
        <v>10</v>
      </c>
      <c r="S22" s="201">
        <v>3868144</v>
      </c>
      <c r="T22" s="24">
        <f t="shared" si="6"/>
        <v>4432428</v>
      </c>
      <c r="U22" s="201">
        <v>2240128</v>
      </c>
      <c r="V22" s="201">
        <v>2192300</v>
      </c>
      <c r="W22" s="135">
        <f t="shared" si="7"/>
        <v>0.49460476289744582</v>
      </c>
    </row>
    <row r="23" spans="1:23">
      <c r="A23" s="81">
        <v>2002</v>
      </c>
      <c r="B23" s="195">
        <v>13</v>
      </c>
      <c r="C23" s="195">
        <v>5</v>
      </c>
      <c r="D23" s="65">
        <f t="shared" si="0"/>
        <v>18</v>
      </c>
      <c r="E23" s="13">
        <f t="shared" si="1"/>
        <v>32</v>
      </c>
      <c r="F23" s="13">
        <f t="shared" si="2"/>
        <v>23</v>
      </c>
      <c r="G23" s="85"/>
      <c r="H23" s="85"/>
      <c r="I23" s="195">
        <v>100</v>
      </c>
      <c r="J23" s="195">
        <v>504</v>
      </c>
      <c r="K23" s="23">
        <f t="shared" si="3"/>
        <v>604</v>
      </c>
      <c r="L23" s="195">
        <v>262</v>
      </c>
      <c r="M23" s="82">
        <f t="shared" si="4"/>
        <v>362</v>
      </c>
      <c r="N23" s="195">
        <v>65</v>
      </c>
      <c r="O23" s="195">
        <v>422</v>
      </c>
      <c r="P23" s="133">
        <f t="shared" si="5"/>
        <v>0.85781990521327012</v>
      </c>
      <c r="Q23" s="195">
        <v>131</v>
      </c>
      <c r="R23" s="195">
        <v>4</v>
      </c>
      <c r="S23" s="201">
        <v>2890789</v>
      </c>
      <c r="T23" s="24">
        <f t="shared" si="6"/>
        <v>3063860</v>
      </c>
      <c r="U23" s="201">
        <v>2235015</v>
      </c>
      <c r="V23" s="201">
        <v>828845</v>
      </c>
      <c r="W23" s="135">
        <f t="shared" si="7"/>
        <v>0.27052313095245867</v>
      </c>
    </row>
    <row r="24" spans="1:23" s="12" customFormat="1">
      <c r="A24" s="577" t="s">
        <v>154</v>
      </c>
      <c r="B24" s="576"/>
      <c r="C24" s="576"/>
      <c r="D24" s="576"/>
      <c r="E24" s="576"/>
      <c r="F24" s="576"/>
      <c r="G24" s="576"/>
      <c r="H24" s="576"/>
      <c r="I24" s="576"/>
      <c r="J24" s="576"/>
      <c r="K24" s="576"/>
      <c r="L24" s="576"/>
      <c r="M24" s="576"/>
      <c r="N24" s="576"/>
      <c r="O24" s="576"/>
      <c r="P24" s="576"/>
      <c r="Q24" s="576"/>
      <c r="R24" s="576"/>
      <c r="S24" s="576"/>
      <c r="T24" s="576"/>
      <c r="U24" s="576"/>
      <c r="V24" s="576"/>
      <c r="W24" s="576"/>
    </row>
    <row r="25" spans="1:23" s="12" customFormat="1"/>
    <row r="26" spans="1:23" s="12" customFormat="1"/>
    <row r="27" spans="1:23" s="12" customFormat="1"/>
    <row r="28" spans="1:23" s="12" customFormat="1"/>
    <row r="29" spans="1:23" s="12" customFormat="1"/>
    <row r="30" spans="1:23" s="12" customFormat="1"/>
    <row r="31" spans="1:23" s="12" customFormat="1"/>
    <row r="32" spans="1:23" s="12" customFormat="1"/>
    <row r="33" s="12" customFormat="1"/>
    <row r="34" s="12" customFormat="1"/>
  </sheetData>
  <mergeCells count="1">
    <mergeCell ref="A24:W24"/>
  </mergeCells>
  <printOptions headings="1" gridLines="1"/>
  <pageMargins left="0.5" right="0.5" top="0.5" bottom="0.5" header="0" footer="0"/>
  <pageSetup paperSize="5" scale="66" orientation="landscape" r:id="rId1"/>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HL35"/>
  <sheetViews>
    <sheetView workbookViewId="0">
      <selection activeCell="G7" sqref="G7"/>
    </sheetView>
  </sheetViews>
  <sheetFormatPr defaultColWidth="8.85546875" defaultRowHeight="15"/>
  <cols>
    <col min="1" max="1" width="11"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0.85546875" bestFit="1" customWidth="1"/>
    <col min="23" max="23" width="12.85546875" bestFit="1" customWidth="1"/>
  </cols>
  <sheetData>
    <row r="1" spans="1:220" s="7" customFormat="1" ht="18.75">
      <c r="A1" s="1" t="s">
        <v>155</v>
      </c>
      <c r="B1" s="2"/>
      <c r="C1" s="1"/>
      <c r="D1" s="1"/>
      <c r="E1" s="1"/>
      <c r="F1" s="1"/>
      <c r="G1" s="1"/>
      <c r="H1" s="1"/>
      <c r="I1" s="1"/>
      <c r="J1" s="1"/>
      <c r="K1" s="1"/>
      <c r="L1" s="1"/>
      <c r="M1" s="1"/>
      <c r="N1" s="1"/>
      <c r="O1" s="1"/>
      <c r="P1" s="1"/>
      <c r="Q1" s="1"/>
      <c r="R1" s="1"/>
      <c r="S1" s="1"/>
      <c r="T1" s="1"/>
      <c r="U1" s="1"/>
      <c r="V1" s="1"/>
      <c r="W1" s="1"/>
    </row>
    <row r="2" spans="1:220" s="6" customFormat="1" ht="60" customHeight="1">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c r="A3" s="105">
        <v>2022</v>
      </c>
      <c r="B3" s="17">
        <v>11</v>
      </c>
      <c r="C3" s="17">
        <v>2.25</v>
      </c>
      <c r="D3" s="23">
        <f>SUM(B3,C3)</f>
        <v>13.25</v>
      </c>
      <c r="E3" s="82">
        <f t="shared" ref="E3" si="0">ROUND((O3/B3), 0)</f>
        <v>15</v>
      </c>
      <c r="F3" s="82">
        <f>ROUND((O3/D3),0)</f>
        <v>13</v>
      </c>
      <c r="G3" s="17">
        <v>11</v>
      </c>
      <c r="H3" s="17">
        <v>2</v>
      </c>
      <c r="I3" s="17">
        <v>71</v>
      </c>
      <c r="J3" s="17">
        <v>107</v>
      </c>
      <c r="K3" s="23">
        <f>SUM(I3:J3)</f>
        <v>178</v>
      </c>
      <c r="L3" s="17">
        <v>38.25</v>
      </c>
      <c r="M3" s="82">
        <f t="shared" ref="M3" si="1">(I3+L3)</f>
        <v>109.25</v>
      </c>
      <c r="N3" s="17">
        <v>50</v>
      </c>
      <c r="O3" s="17">
        <v>167.76</v>
      </c>
      <c r="P3" s="133">
        <f>M3/O3</f>
        <v>0.65122794468288037</v>
      </c>
      <c r="Q3" s="17">
        <v>59</v>
      </c>
      <c r="R3" s="17">
        <v>25</v>
      </c>
      <c r="S3" s="20">
        <v>1551145.48</v>
      </c>
      <c r="T3" s="24">
        <v>2084452</v>
      </c>
      <c r="U3" s="20">
        <v>1893855.01</v>
      </c>
      <c r="V3" s="20">
        <v>0</v>
      </c>
      <c r="W3" s="135">
        <f>V3/T3</f>
        <v>0</v>
      </c>
    </row>
    <row r="4" spans="1:220">
      <c r="A4" s="105">
        <v>2021</v>
      </c>
      <c r="B4" s="17">
        <v>10</v>
      </c>
      <c r="C4" s="17">
        <v>4.5</v>
      </c>
      <c r="D4" s="23">
        <f>SUM(B4,C4)</f>
        <v>14.5</v>
      </c>
      <c r="E4" s="82">
        <f t="shared" ref="E4" si="2">ROUND((O4/B4), 0)</f>
        <v>20</v>
      </c>
      <c r="F4" s="82">
        <f>ROUND((O4/D4),0)</f>
        <v>14</v>
      </c>
      <c r="G4" s="17">
        <v>10</v>
      </c>
      <c r="H4" s="17">
        <v>2.75</v>
      </c>
      <c r="I4" s="17">
        <v>63</v>
      </c>
      <c r="J4" s="17">
        <v>124</v>
      </c>
      <c r="K4" s="23">
        <f>SUM(I4:J4)</f>
        <v>187</v>
      </c>
      <c r="L4" s="17">
        <v>41.33</v>
      </c>
      <c r="M4" s="82">
        <v>104.33</v>
      </c>
      <c r="N4" s="17">
        <v>53</v>
      </c>
      <c r="O4" s="17">
        <v>204.67</v>
      </c>
      <c r="P4" s="133">
        <f>M4/O4</f>
        <v>0.50974739825084281</v>
      </c>
      <c r="Q4" s="17">
        <v>79</v>
      </c>
      <c r="R4" s="17">
        <v>20</v>
      </c>
      <c r="S4" s="20">
        <v>1260970.2</v>
      </c>
      <c r="T4" s="24">
        <v>1541046.44</v>
      </c>
      <c r="U4" s="20">
        <v>1334688.52</v>
      </c>
      <c r="V4" s="20">
        <v>0</v>
      </c>
      <c r="W4" s="135">
        <v>0</v>
      </c>
    </row>
    <row r="5" spans="1:220">
      <c r="A5" s="105">
        <v>2020</v>
      </c>
      <c r="B5" s="17">
        <v>10</v>
      </c>
      <c r="C5" s="17">
        <v>2.15</v>
      </c>
      <c r="D5" s="23">
        <f>SUM(B5:C5)</f>
        <v>12.15</v>
      </c>
      <c r="E5" s="82">
        <f>ROUND((O5/B5), 0)</f>
        <v>20</v>
      </c>
      <c r="F5" s="82">
        <f>ROUND((O5/D5),0)</f>
        <v>16</v>
      </c>
      <c r="G5" s="17">
        <v>10</v>
      </c>
      <c r="H5" s="17">
        <v>2</v>
      </c>
      <c r="I5" s="17">
        <v>66</v>
      </c>
      <c r="J5" s="17">
        <v>140</v>
      </c>
      <c r="K5" s="23">
        <f>SUM(I5:J5)</f>
        <v>206</v>
      </c>
      <c r="L5" s="17">
        <v>46.67</v>
      </c>
      <c r="M5" s="82">
        <f>(I5+L5)</f>
        <v>112.67</v>
      </c>
      <c r="N5" s="17">
        <v>58</v>
      </c>
      <c r="O5" s="17">
        <v>195.33</v>
      </c>
      <c r="P5" s="133">
        <f>M5/O5</f>
        <v>0.57681871704295296</v>
      </c>
      <c r="Q5" s="17">
        <v>72</v>
      </c>
      <c r="R5" s="17">
        <v>20</v>
      </c>
      <c r="S5" s="20">
        <v>1046761</v>
      </c>
      <c r="T5" s="24">
        <f>SUM(U5:V5)</f>
        <v>1141093</v>
      </c>
      <c r="U5" s="20">
        <v>1141093</v>
      </c>
      <c r="V5" s="20">
        <v>0</v>
      </c>
      <c r="W5" s="135">
        <v>0</v>
      </c>
    </row>
    <row r="6" spans="1:220">
      <c r="A6" s="105">
        <v>2019</v>
      </c>
      <c r="B6" s="17">
        <v>9</v>
      </c>
      <c r="C6" s="17">
        <v>2</v>
      </c>
      <c r="D6" s="23">
        <f>SUM(B6:C6)</f>
        <v>11</v>
      </c>
      <c r="E6" s="82">
        <f>ROUND((O6/B6), 0)</f>
        <v>20</v>
      </c>
      <c r="F6" s="82">
        <f>ROUND((O6/D6), 0)</f>
        <v>16</v>
      </c>
      <c r="G6" s="17">
        <v>9</v>
      </c>
      <c r="H6" s="17">
        <v>2</v>
      </c>
      <c r="I6" s="17">
        <v>65</v>
      </c>
      <c r="J6" s="17">
        <v>149</v>
      </c>
      <c r="K6" s="23">
        <f>SUM(I6:J6)</f>
        <v>214</v>
      </c>
      <c r="L6" s="17">
        <v>49.67</v>
      </c>
      <c r="M6" s="82">
        <f>(I6+L6)</f>
        <v>114.67</v>
      </c>
      <c r="N6" s="17">
        <v>50</v>
      </c>
      <c r="O6" s="17">
        <v>179.33</v>
      </c>
      <c r="P6" s="133">
        <f>M6/O6</f>
        <v>0.63943567724307138</v>
      </c>
      <c r="Q6" s="17">
        <v>55</v>
      </c>
      <c r="R6" s="17">
        <v>17</v>
      </c>
      <c r="S6" s="20">
        <v>1180054.1100000001</v>
      </c>
      <c r="T6" s="24">
        <f>SUM(U6:V6)</f>
        <v>1179709</v>
      </c>
      <c r="U6" s="20">
        <v>1135553</v>
      </c>
      <c r="V6" s="20">
        <v>44156</v>
      </c>
      <c r="W6" s="135">
        <f>V6/T6</f>
        <v>3.7429569495528135E-2</v>
      </c>
    </row>
    <row r="7" spans="1:220" s="14" customFormat="1">
      <c r="A7" s="10">
        <v>2018</v>
      </c>
      <c r="B7" s="17">
        <v>8</v>
      </c>
      <c r="C7" s="17">
        <v>2</v>
      </c>
      <c r="D7" s="23">
        <f>SUM(B7:C7)</f>
        <v>10</v>
      </c>
      <c r="E7" s="82">
        <f>ROUND((O7/B7), 0)</f>
        <v>22</v>
      </c>
      <c r="F7" s="82">
        <f>ROUND((O7/D7), 0)</f>
        <v>18</v>
      </c>
      <c r="G7" s="17">
        <v>8</v>
      </c>
      <c r="H7" s="17">
        <v>2</v>
      </c>
      <c r="I7" s="17">
        <v>68</v>
      </c>
      <c r="J7" s="17">
        <v>138</v>
      </c>
      <c r="K7" s="23">
        <f t="shared" ref="K7" si="3">SUM(I7:J7)</f>
        <v>206</v>
      </c>
      <c r="L7" s="17">
        <v>46</v>
      </c>
      <c r="M7" s="82">
        <f>(I7+L7)</f>
        <v>114</v>
      </c>
      <c r="N7" s="17">
        <v>51</v>
      </c>
      <c r="O7" s="17">
        <v>179</v>
      </c>
      <c r="P7" s="133">
        <f>M7/O7</f>
        <v>0.63687150837988826</v>
      </c>
      <c r="Q7" s="17">
        <v>63</v>
      </c>
      <c r="R7" s="17">
        <v>13</v>
      </c>
      <c r="S7" s="20">
        <v>1247534</v>
      </c>
      <c r="T7" s="24">
        <f>SUM(U7:V7)</f>
        <v>1176939</v>
      </c>
      <c r="U7" s="20">
        <v>1144226</v>
      </c>
      <c r="V7" s="20">
        <v>32713</v>
      </c>
      <c r="W7" s="135">
        <f>V7/T7</f>
        <v>2.7794983427348402E-2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9</v>
      </c>
      <c r="C8" s="17">
        <v>1</v>
      </c>
      <c r="D8" s="27">
        <f>SUM(B8:C8)</f>
        <v>10</v>
      </c>
      <c r="E8" s="27">
        <f>ROUND((O8/B8), 0)</f>
        <v>17</v>
      </c>
      <c r="F8" s="27">
        <f>ROUND((O8/D8), 0)</f>
        <v>15</v>
      </c>
      <c r="G8" s="17">
        <v>9</v>
      </c>
      <c r="H8" s="17">
        <v>0</v>
      </c>
      <c r="I8" s="17">
        <v>62</v>
      </c>
      <c r="J8" s="17">
        <v>119</v>
      </c>
      <c r="K8" s="27">
        <f>SUM(I8:J8)</f>
        <v>181</v>
      </c>
      <c r="L8" s="17">
        <v>39.67</v>
      </c>
      <c r="M8" s="29">
        <f>(I8+L8)</f>
        <v>101.67</v>
      </c>
      <c r="N8" s="255">
        <v>40</v>
      </c>
      <c r="O8" s="255">
        <v>151.33000000000001</v>
      </c>
      <c r="P8" s="133">
        <f t="shared" ref="P8:P23" si="4">M8/O8</f>
        <v>0.67184299213639065</v>
      </c>
      <c r="Q8" s="17">
        <v>57</v>
      </c>
      <c r="R8" s="17">
        <v>12</v>
      </c>
      <c r="S8" s="223">
        <v>1291308</v>
      </c>
      <c r="T8" s="28">
        <f>SUM(U8:V8)</f>
        <v>1322689</v>
      </c>
      <c r="U8" s="252">
        <v>1212636</v>
      </c>
      <c r="V8" s="20">
        <v>110053</v>
      </c>
      <c r="W8" s="135">
        <f t="shared" ref="W8:W23" si="5">V8/T8</f>
        <v>8.3203988239109877E-2</v>
      </c>
    </row>
    <row r="9" spans="1:220" s="9" customFormat="1">
      <c r="A9" s="10">
        <v>2016</v>
      </c>
      <c r="B9" s="54">
        <v>9</v>
      </c>
      <c r="C9" s="54">
        <v>1</v>
      </c>
      <c r="D9" s="65">
        <f>B9+C9</f>
        <v>10</v>
      </c>
      <c r="E9" s="13">
        <f>ROUND((O9/B9), 0)</f>
        <v>13</v>
      </c>
      <c r="F9" s="13">
        <f>ROUND((O9/D9), 0)</f>
        <v>12</v>
      </c>
      <c r="G9" s="66">
        <v>9</v>
      </c>
      <c r="H9" s="66">
        <v>0</v>
      </c>
      <c r="I9" s="54">
        <v>49</v>
      </c>
      <c r="J9" s="54">
        <v>97</v>
      </c>
      <c r="K9" s="65">
        <f>I9+J9</f>
        <v>146</v>
      </c>
      <c r="L9" s="54">
        <v>32.33</v>
      </c>
      <c r="M9" s="13">
        <f>I9+L9</f>
        <v>81.33</v>
      </c>
      <c r="N9" s="54">
        <v>30</v>
      </c>
      <c r="O9" s="54">
        <v>119</v>
      </c>
      <c r="P9" s="133">
        <f t="shared" si="4"/>
        <v>0.6834453781512605</v>
      </c>
      <c r="Q9" s="54">
        <v>45</v>
      </c>
      <c r="R9" s="54">
        <v>7</v>
      </c>
      <c r="S9" s="54">
        <v>1490822</v>
      </c>
      <c r="T9" s="24">
        <f>SUM(U9:V9)</f>
        <v>1673397</v>
      </c>
      <c r="U9" s="54">
        <v>1361177</v>
      </c>
      <c r="V9" s="54">
        <v>312220</v>
      </c>
      <c r="W9" s="135">
        <f t="shared" si="5"/>
        <v>0.1865785584652058</v>
      </c>
    </row>
    <row r="10" spans="1:220" s="9" customFormat="1">
      <c r="A10" s="15">
        <v>2015</v>
      </c>
      <c r="B10" s="54">
        <v>11</v>
      </c>
      <c r="C10" s="54">
        <v>0</v>
      </c>
      <c r="D10" s="19">
        <v>11</v>
      </c>
      <c r="E10" s="19">
        <v>10</v>
      </c>
      <c r="F10" s="19">
        <v>10</v>
      </c>
      <c r="G10" s="83"/>
      <c r="H10" s="83"/>
      <c r="I10" s="54">
        <v>46</v>
      </c>
      <c r="J10" s="54">
        <v>96</v>
      </c>
      <c r="K10" s="19">
        <v>142</v>
      </c>
      <c r="L10" s="54">
        <v>32</v>
      </c>
      <c r="M10" s="19">
        <v>78</v>
      </c>
      <c r="N10" s="54">
        <v>28</v>
      </c>
      <c r="O10" s="54">
        <v>114</v>
      </c>
      <c r="P10" s="133">
        <f t="shared" si="4"/>
        <v>0.68421052631578949</v>
      </c>
      <c r="Q10" s="54">
        <v>47</v>
      </c>
      <c r="R10" s="54">
        <v>12</v>
      </c>
      <c r="S10" s="55">
        <v>1490473</v>
      </c>
      <c r="T10" s="111">
        <v>1794149</v>
      </c>
      <c r="U10" s="55">
        <v>1506237</v>
      </c>
      <c r="V10" s="55">
        <v>287912</v>
      </c>
      <c r="W10" s="135">
        <f t="shared" si="5"/>
        <v>0.16047273665676595</v>
      </c>
    </row>
    <row r="11" spans="1:220" s="16" customFormat="1">
      <c r="A11" s="15">
        <v>2014</v>
      </c>
      <c r="B11" s="70">
        <v>11</v>
      </c>
      <c r="C11" s="70">
        <v>0.33</v>
      </c>
      <c r="D11" s="65">
        <f>B11+C11</f>
        <v>11.33</v>
      </c>
      <c r="E11" s="13">
        <f t="shared" ref="E11:E23" si="6">ROUND((O11/B11), 0)</f>
        <v>12</v>
      </c>
      <c r="F11" s="13">
        <f t="shared" ref="F11:F23" si="7">ROUND((O11/D11), 0)</f>
        <v>11</v>
      </c>
      <c r="G11" s="83"/>
      <c r="H11" s="83"/>
      <c r="I11" s="70">
        <v>38</v>
      </c>
      <c r="J11" s="70">
        <v>103</v>
      </c>
      <c r="K11" s="65">
        <f>I11+J11</f>
        <v>141</v>
      </c>
      <c r="L11" s="70">
        <v>61.78</v>
      </c>
      <c r="M11" s="13">
        <f>I11+L11</f>
        <v>99.78</v>
      </c>
      <c r="N11" s="70">
        <v>13</v>
      </c>
      <c r="O11" s="70">
        <v>127</v>
      </c>
      <c r="P11" s="133">
        <f t="shared" si="4"/>
        <v>0.78566929133858265</v>
      </c>
      <c r="Q11" s="70">
        <v>54</v>
      </c>
      <c r="R11" s="70">
        <v>7</v>
      </c>
      <c r="S11" s="71">
        <v>1471568</v>
      </c>
      <c r="T11" s="68">
        <f t="shared" ref="T11:T23" si="8">SUM(U11:V11)</f>
        <v>1610919</v>
      </c>
      <c r="U11" s="71">
        <v>1276177</v>
      </c>
      <c r="V11" s="71">
        <v>334742</v>
      </c>
      <c r="W11" s="135">
        <f t="shared" si="5"/>
        <v>0.20779567439455368</v>
      </c>
    </row>
    <row r="12" spans="1:220">
      <c r="A12" s="15">
        <v>2013</v>
      </c>
      <c r="B12" s="528">
        <v>10</v>
      </c>
      <c r="C12" s="528">
        <v>0.66</v>
      </c>
      <c r="D12" s="23">
        <f>B12+C12</f>
        <v>10.66</v>
      </c>
      <c r="E12" s="82">
        <f t="shared" si="6"/>
        <v>21</v>
      </c>
      <c r="F12" s="82">
        <f t="shared" si="7"/>
        <v>20</v>
      </c>
      <c r="G12" s="85"/>
      <c r="H12" s="85"/>
      <c r="I12" s="528">
        <v>32</v>
      </c>
      <c r="J12" s="528">
        <v>116</v>
      </c>
      <c r="K12" s="23">
        <f>I12+J12</f>
        <v>148</v>
      </c>
      <c r="L12" s="528">
        <v>70.45</v>
      </c>
      <c r="M12" s="82">
        <f>I12+L12</f>
        <v>102.45</v>
      </c>
      <c r="N12" s="528">
        <v>24</v>
      </c>
      <c r="O12" s="528">
        <v>214.56</v>
      </c>
      <c r="P12" s="133">
        <f t="shared" si="4"/>
        <v>0.47748881431767337</v>
      </c>
      <c r="Q12" s="528">
        <v>58</v>
      </c>
      <c r="R12" s="528">
        <v>6</v>
      </c>
      <c r="S12" s="84">
        <v>1610306</v>
      </c>
      <c r="T12" s="24">
        <f t="shared" si="8"/>
        <v>1816287</v>
      </c>
      <c r="U12" s="84">
        <v>1403452</v>
      </c>
      <c r="V12" s="84">
        <v>412835</v>
      </c>
      <c r="W12" s="135">
        <f t="shared" si="5"/>
        <v>0.22729612665839705</v>
      </c>
    </row>
    <row r="13" spans="1:220">
      <c r="A13" s="15">
        <v>2012</v>
      </c>
      <c r="B13" s="528">
        <v>12</v>
      </c>
      <c r="C13" s="528">
        <v>1</v>
      </c>
      <c r="D13" s="23">
        <f>B13+C13</f>
        <v>13</v>
      </c>
      <c r="E13" s="82">
        <f t="shared" si="6"/>
        <v>14</v>
      </c>
      <c r="F13" s="82">
        <f t="shared" si="7"/>
        <v>13</v>
      </c>
      <c r="G13" s="85"/>
      <c r="H13" s="85"/>
      <c r="I13" s="528">
        <v>33</v>
      </c>
      <c r="J13" s="528">
        <v>140</v>
      </c>
      <c r="K13" s="23">
        <f>I13+J13</f>
        <v>173</v>
      </c>
      <c r="L13" s="528">
        <v>108.3</v>
      </c>
      <c r="M13" s="82">
        <f>I13+L13</f>
        <v>141.30000000000001</v>
      </c>
      <c r="N13" s="528">
        <v>31</v>
      </c>
      <c r="O13" s="528">
        <v>163.30000000000001</v>
      </c>
      <c r="P13" s="133">
        <f t="shared" si="4"/>
        <v>0.86527862829148805</v>
      </c>
      <c r="Q13" s="528">
        <v>61</v>
      </c>
      <c r="R13" s="528">
        <v>6</v>
      </c>
      <c r="S13" s="84">
        <v>1708157</v>
      </c>
      <c r="T13" s="24">
        <f t="shared" si="8"/>
        <v>1959389</v>
      </c>
      <c r="U13" s="84">
        <v>1862489</v>
      </c>
      <c r="V13" s="84">
        <v>96900</v>
      </c>
      <c r="W13" s="135">
        <f t="shared" si="5"/>
        <v>4.94541920976386E-2</v>
      </c>
    </row>
    <row r="14" spans="1:220">
      <c r="A14" s="15" t="s">
        <v>26</v>
      </c>
      <c r="B14" s="528">
        <v>12</v>
      </c>
      <c r="C14" s="528">
        <v>1.65</v>
      </c>
      <c r="D14" s="23">
        <f t="shared" ref="D14:D23" si="9">SUM(B14:C14)</f>
        <v>13.65</v>
      </c>
      <c r="E14" s="82">
        <f t="shared" si="6"/>
        <v>24</v>
      </c>
      <c r="F14" s="82">
        <f t="shared" si="7"/>
        <v>21</v>
      </c>
      <c r="G14" s="85"/>
      <c r="H14" s="85"/>
      <c r="I14" s="528">
        <v>36</v>
      </c>
      <c r="J14" s="528">
        <v>143</v>
      </c>
      <c r="K14" s="23">
        <f t="shared" ref="K14:K23" si="10">SUM(I14:J14)</f>
        <v>179</v>
      </c>
      <c r="L14" s="528">
        <v>83</v>
      </c>
      <c r="M14" s="82">
        <f t="shared" ref="M14:M23" si="11">(I14+L14)</f>
        <v>119</v>
      </c>
      <c r="N14" s="528">
        <v>32</v>
      </c>
      <c r="O14" s="528">
        <v>291.66999999999996</v>
      </c>
      <c r="P14" s="133">
        <f t="shared" si="4"/>
        <v>0.40799533719614639</v>
      </c>
      <c r="Q14" s="528">
        <v>52</v>
      </c>
      <c r="R14" s="528">
        <v>8</v>
      </c>
      <c r="S14" s="84">
        <v>1566169</v>
      </c>
      <c r="T14" s="24">
        <f t="shared" si="8"/>
        <v>1742198</v>
      </c>
      <c r="U14" s="84">
        <v>967007</v>
      </c>
      <c r="V14" s="84">
        <v>775191</v>
      </c>
      <c r="W14" s="135">
        <f t="shared" si="5"/>
        <v>0.44494999994260126</v>
      </c>
    </row>
    <row r="15" spans="1:220">
      <c r="A15" s="15" t="s">
        <v>27</v>
      </c>
      <c r="B15" s="528">
        <v>11</v>
      </c>
      <c r="C15" s="528">
        <v>2.31</v>
      </c>
      <c r="D15" s="23">
        <f t="shared" si="9"/>
        <v>13.31</v>
      </c>
      <c r="E15" s="82">
        <f t="shared" si="6"/>
        <v>20</v>
      </c>
      <c r="F15" s="82">
        <f t="shared" si="7"/>
        <v>17</v>
      </c>
      <c r="G15" s="85"/>
      <c r="H15" s="85"/>
      <c r="I15" s="528">
        <v>44</v>
      </c>
      <c r="J15" s="528">
        <v>134</v>
      </c>
      <c r="K15" s="23">
        <f t="shared" si="10"/>
        <v>178</v>
      </c>
      <c r="L15" s="528">
        <v>76.33</v>
      </c>
      <c r="M15" s="82">
        <f t="shared" si="11"/>
        <v>120.33</v>
      </c>
      <c r="N15" s="528">
        <v>37</v>
      </c>
      <c r="O15" s="528">
        <v>222.51</v>
      </c>
      <c r="P15" s="133">
        <f t="shared" si="4"/>
        <v>0.54078468383443445</v>
      </c>
      <c r="Q15" s="528">
        <v>53</v>
      </c>
      <c r="R15" s="528">
        <v>10</v>
      </c>
      <c r="S15" s="84">
        <v>1754041</v>
      </c>
      <c r="T15" s="24">
        <f t="shared" si="8"/>
        <v>1806641</v>
      </c>
      <c r="U15" s="84">
        <v>1094580</v>
      </c>
      <c r="V15" s="84">
        <v>712061</v>
      </c>
      <c r="W15" s="135">
        <f t="shared" si="5"/>
        <v>0.39413530413623959</v>
      </c>
    </row>
    <row r="16" spans="1:220">
      <c r="A16" s="15" t="s">
        <v>28</v>
      </c>
      <c r="B16" s="528">
        <v>13</v>
      </c>
      <c r="C16" s="528">
        <v>2.64</v>
      </c>
      <c r="D16" s="23">
        <f t="shared" si="9"/>
        <v>15.64</v>
      </c>
      <c r="E16" s="82">
        <f t="shared" si="6"/>
        <v>20</v>
      </c>
      <c r="F16" s="82">
        <f t="shared" si="7"/>
        <v>17</v>
      </c>
      <c r="G16" s="85"/>
      <c r="H16" s="85"/>
      <c r="I16" s="528">
        <v>40</v>
      </c>
      <c r="J16" s="528">
        <v>134</v>
      </c>
      <c r="K16" s="23">
        <f t="shared" si="10"/>
        <v>174</v>
      </c>
      <c r="L16" s="528">
        <v>84.56</v>
      </c>
      <c r="M16" s="82">
        <f t="shared" si="11"/>
        <v>124.56</v>
      </c>
      <c r="N16" s="528">
        <v>30</v>
      </c>
      <c r="O16" s="528">
        <v>258.24</v>
      </c>
      <c r="P16" s="133">
        <f t="shared" si="4"/>
        <v>0.48234200743494421</v>
      </c>
      <c r="Q16" s="528">
        <v>62</v>
      </c>
      <c r="R16" s="528">
        <v>14</v>
      </c>
      <c r="S16" s="84">
        <v>1699654.37</v>
      </c>
      <c r="T16" s="24">
        <f t="shared" si="8"/>
        <v>1759423</v>
      </c>
      <c r="U16" s="84">
        <v>1468255</v>
      </c>
      <c r="V16" s="84">
        <v>291168</v>
      </c>
      <c r="W16" s="135">
        <f t="shared" si="5"/>
        <v>0.16549061823109054</v>
      </c>
    </row>
    <row r="17" spans="1:23">
      <c r="A17" s="15" t="s">
        <v>29</v>
      </c>
      <c r="B17" s="528">
        <v>12</v>
      </c>
      <c r="C17" s="528">
        <v>4</v>
      </c>
      <c r="D17" s="23">
        <f t="shared" si="9"/>
        <v>16</v>
      </c>
      <c r="E17" s="82">
        <f t="shared" si="6"/>
        <v>18</v>
      </c>
      <c r="F17" s="82">
        <f t="shared" si="7"/>
        <v>13</v>
      </c>
      <c r="G17" s="85"/>
      <c r="H17" s="85"/>
      <c r="I17" s="528">
        <v>27</v>
      </c>
      <c r="J17" s="528">
        <v>149</v>
      </c>
      <c r="K17" s="23">
        <f t="shared" si="10"/>
        <v>176</v>
      </c>
      <c r="L17" s="528">
        <v>84</v>
      </c>
      <c r="M17" s="82">
        <f t="shared" si="11"/>
        <v>111</v>
      </c>
      <c r="N17" s="528">
        <v>23</v>
      </c>
      <c r="O17" s="528">
        <v>211</v>
      </c>
      <c r="P17" s="133">
        <f t="shared" si="4"/>
        <v>0.52606635071090047</v>
      </c>
      <c r="Q17" s="528">
        <v>61</v>
      </c>
      <c r="R17" s="528">
        <v>14</v>
      </c>
      <c r="S17" s="84">
        <v>1945823.7250000001</v>
      </c>
      <c r="T17" s="24">
        <f t="shared" si="8"/>
        <v>1850978</v>
      </c>
      <c r="U17" s="84">
        <v>1464183</v>
      </c>
      <c r="V17" s="84">
        <v>386795</v>
      </c>
      <c r="W17" s="135">
        <f t="shared" si="5"/>
        <v>0.20896790777632149</v>
      </c>
    </row>
    <row r="18" spans="1:23">
      <c r="A18" s="15">
        <v>2007</v>
      </c>
      <c r="B18" s="528">
        <v>13</v>
      </c>
      <c r="C18" s="528">
        <v>4</v>
      </c>
      <c r="D18" s="23">
        <f t="shared" si="9"/>
        <v>17</v>
      </c>
      <c r="E18" s="82">
        <f t="shared" si="6"/>
        <v>12</v>
      </c>
      <c r="F18" s="82">
        <f t="shared" si="7"/>
        <v>9</v>
      </c>
      <c r="G18" s="85"/>
      <c r="H18" s="85"/>
      <c r="I18" s="528">
        <v>33</v>
      </c>
      <c r="J18" s="528">
        <v>156</v>
      </c>
      <c r="K18" s="23">
        <f t="shared" si="10"/>
        <v>189</v>
      </c>
      <c r="L18" s="528">
        <v>89.23</v>
      </c>
      <c r="M18" s="82">
        <f t="shared" si="11"/>
        <v>122.23</v>
      </c>
      <c r="N18" s="528">
        <v>18</v>
      </c>
      <c r="O18" s="528">
        <v>156</v>
      </c>
      <c r="P18" s="133">
        <f t="shared" si="4"/>
        <v>0.78352564102564104</v>
      </c>
      <c r="Q18" s="528">
        <v>31</v>
      </c>
      <c r="R18" s="528">
        <v>16</v>
      </c>
      <c r="S18" s="148">
        <v>2087849</v>
      </c>
      <c r="T18" s="24">
        <f t="shared" si="8"/>
        <v>1768925</v>
      </c>
      <c r="U18" s="148">
        <v>1601064</v>
      </c>
      <c r="V18" s="148">
        <v>167861</v>
      </c>
      <c r="W18" s="135">
        <f t="shared" si="5"/>
        <v>9.4894356742089125E-2</v>
      </c>
    </row>
    <row r="19" spans="1:23">
      <c r="A19" s="15">
        <v>2006</v>
      </c>
      <c r="B19" s="528">
        <v>13</v>
      </c>
      <c r="C19" s="528">
        <v>3</v>
      </c>
      <c r="D19" s="23">
        <f t="shared" si="9"/>
        <v>16</v>
      </c>
      <c r="E19" s="82">
        <f t="shared" si="6"/>
        <v>12</v>
      </c>
      <c r="F19" s="82">
        <f t="shared" si="7"/>
        <v>10</v>
      </c>
      <c r="G19" s="85"/>
      <c r="H19" s="85"/>
      <c r="I19" s="528">
        <v>30</v>
      </c>
      <c r="J19" s="528">
        <v>154</v>
      </c>
      <c r="K19" s="23">
        <f t="shared" si="10"/>
        <v>184</v>
      </c>
      <c r="L19" s="528">
        <v>87</v>
      </c>
      <c r="M19" s="82">
        <f t="shared" si="11"/>
        <v>117</v>
      </c>
      <c r="N19" s="528">
        <v>19</v>
      </c>
      <c r="O19" s="528">
        <v>161</v>
      </c>
      <c r="P19" s="133">
        <f t="shared" si="4"/>
        <v>0.72670807453416153</v>
      </c>
      <c r="Q19" s="528">
        <v>43</v>
      </c>
      <c r="R19" s="528">
        <v>7</v>
      </c>
      <c r="S19" s="132">
        <v>1539595</v>
      </c>
      <c r="T19" s="24">
        <f t="shared" si="8"/>
        <v>1105520</v>
      </c>
      <c r="U19" s="132">
        <v>992404</v>
      </c>
      <c r="V19" s="132">
        <v>113116</v>
      </c>
      <c r="W19" s="135">
        <f t="shared" si="5"/>
        <v>0.10231927056950575</v>
      </c>
    </row>
    <row r="20" spans="1:23">
      <c r="A20" s="15">
        <v>2005</v>
      </c>
      <c r="B20" s="528">
        <v>9</v>
      </c>
      <c r="C20" s="528">
        <v>3</v>
      </c>
      <c r="D20" s="23">
        <f t="shared" si="9"/>
        <v>12</v>
      </c>
      <c r="E20" s="82">
        <f t="shared" si="6"/>
        <v>14</v>
      </c>
      <c r="F20" s="82">
        <f t="shared" si="7"/>
        <v>11</v>
      </c>
      <c r="G20" s="85"/>
      <c r="H20" s="85"/>
      <c r="I20" s="528">
        <v>33</v>
      </c>
      <c r="J20" s="528">
        <v>108</v>
      </c>
      <c r="K20" s="23">
        <f t="shared" si="10"/>
        <v>141</v>
      </c>
      <c r="L20" s="528">
        <v>56</v>
      </c>
      <c r="M20" s="82">
        <f t="shared" si="11"/>
        <v>89</v>
      </c>
      <c r="N20" s="528">
        <v>11</v>
      </c>
      <c r="O20" s="528">
        <v>129</v>
      </c>
      <c r="P20" s="133">
        <f t="shared" si="4"/>
        <v>0.68992248062015504</v>
      </c>
      <c r="Q20" s="528">
        <v>61</v>
      </c>
      <c r="R20" s="528">
        <v>13</v>
      </c>
      <c r="S20" s="132">
        <v>1493268</v>
      </c>
      <c r="T20" s="24">
        <f t="shared" si="8"/>
        <v>1525173</v>
      </c>
      <c r="U20" s="132">
        <v>1425719</v>
      </c>
      <c r="V20" s="132">
        <v>99454</v>
      </c>
      <c r="W20" s="135">
        <f t="shared" si="5"/>
        <v>6.5208340299756154E-2</v>
      </c>
    </row>
    <row r="21" spans="1:23">
      <c r="A21" s="15">
        <v>2004</v>
      </c>
      <c r="B21" s="528">
        <v>11</v>
      </c>
      <c r="C21" s="528">
        <v>1</v>
      </c>
      <c r="D21" s="23">
        <f t="shared" si="9"/>
        <v>12</v>
      </c>
      <c r="E21" s="82">
        <f t="shared" si="6"/>
        <v>12</v>
      </c>
      <c r="F21" s="82">
        <f t="shared" si="7"/>
        <v>11</v>
      </c>
      <c r="G21" s="85"/>
      <c r="H21" s="85"/>
      <c r="I21" s="528">
        <v>34</v>
      </c>
      <c r="J21" s="528">
        <v>105</v>
      </c>
      <c r="K21" s="23">
        <f t="shared" si="10"/>
        <v>139</v>
      </c>
      <c r="L21" s="528">
        <v>56</v>
      </c>
      <c r="M21" s="82">
        <f t="shared" si="11"/>
        <v>90</v>
      </c>
      <c r="N21" s="528">
        <v>12</v>
      </c>
      <c r="O21" s="528">
        <v>128</v>
      </c>
      <c r="P21" s="133">
        <f t="shared" si="4"/>
        <v>0.703125</v>
      </c>
      <c r="Q21" s="528">
        <v>69</v>
      </c>
      <c r="R21" s="528">
        <v>4</v>
      </c>
      <c r="S21" s="132">
        <v>1365132</v>
      </c>
      <c r="T21" s="24">
        <f t="shared" si="8"/>
        <v>1383209</v>
      </c>
      <c r="U21" s="132">
        <v>1216055</v>
      </c>
      <c r="V21" s="132">
        <v>167154</v>
      </c>
      <c r="W21" s="135">
        <f t="shared" si="5"/>
        <v>0.12084507836487472</v>
      </c>
    </row>
    <row r="22" spans="1:23">
      <c r="A22" s="15">
        <v>2003</v>
      </c>
      <c r="B22" s="528">
        <v>11</v>
      </c>
      <c r="C22" s="528">
        <v>0</v>
      </c>
      <c r="D22" s="23">
        <f t="shared" si="9"/>
        <v>11</v>
      </c>
      <c r="E22" s="82">
        <f t="shared" si="6"/>
        <v>14</v>
      </c>
      <c r="F22" s="82">
        <f t="shared" si="7"/>
        <v>14</v>
      </c>
      <c r="G22" s="85"/>
      <c r="H22" s="85"/>
      <c r="I22" s="528">
        <v>35</v>
      </c>
      <c r="J22" s="528">
        <v>133</v>
      </c>
      <c r="K22" s="23">
        <f t="shared" si="10"/>
        <v>168</v>
      </c>
      <c r="L22" s="528">
        <f>ROUND(58.11, 0)</f>
        <v>58</v>
      </c>
      <c r="M22" s="82">
        <f t="shared" si="11"/>
        <v>93</v>
      </c>
      <c r="N22" s="528">
        <v>13</v>
      </c>
      <c r="O22" s="528">
        <v>158</v>
      </c>
      <c r="P22" s="133">
        <f t="shared" si="4"/>
        <v>0.58860759493670889</v>
      </c>
      <c r="Q22" s="528">
        <v>40</v>
      </c>
      <c r="R22" s="528">
        <v>0</v>
      </c>
      <c r="S22" s="132">
        <v>1092378</v>
      </c>
      <c r="T22" s="24">
        <f t="shared" si="8"/>
        <v>1120363</v>
      </c>
      <c r="U22" s="132">
        <v>967105</v>
      </c>
      <c r="V22" s="132">
        <v>153258</v>
      </c>
      <c r="W22" s="135">
        <f t="shared" si="5"/>
        <v>0.13679316435833744</v>
      </c>
    </row>
    <row r="23" spans="1:23">
      <c r="A23" s="15">
        <v>2002</v>
      </c>
      <c r="B23" s="528">
        <v>10</v>
      </c>
      <c r="C23" s="528">
        <v>0</v>
      </c>
      <c r="D23" s="23">
        <f t="shared" si="9"/>
        <v>10</v>
      </c>
      <c r="E23" s="82">
        <f t="shared" si="6"/>
        <v>14</v>
      </c>
      <c r="F23" s="82">
        <f t="shared" si="7"/>
        <v>14</v>
      </c>
      <c r="G23" s="85"/>
      <c r="H23" s="85"/>
      <c r="I23" s="528">
        <v>21</v>
      </c>
      <c r="J23" s="528">
        <v>132</v>
      </c>
      <c r="K23" s="23">
        <f t="shared" si="10"/>
        <v>153</v>
      </c>
      <c r="L23" s="528">
        <f>ROUND(62.4, 0)</f>
        <v>62</v>
      </c>
      <c r="M23" s="82">
        <f t="shared" si="11"/>
        <v>83</v>
      </c>
      <c r="N23" s="528">
        <v>17</v>
      </c>
      <c r="O23" s="528">
        <f>ROUND(135, 0)</f>
        <v>135</v>
      </c>
      <c r="P23" s="133">
        <f t="shared" si="4"/>
        <v>0.61481481481481481</v>
      </c>
      <c r="Q23" s="528">
        <v>61</v>
      </c>
      <c r="R23" s="528">
        <v>0</v>
      </c>
      <c r="S23" s="132">
        <v>1057696</v>
      </c>
      <c r="T23" s="24">
        <f t="shared" si="8"/>
        <v>1062775</v>
      </c>
      <c r="U23" s="132">
        <v>848671</v>
      </c>
      <c r="V23" s="132">
        <v>214104</v>
      </c>
      <c r="W23" s="135">
        <f t="shared" si="5"/>
        <v>0.20145750511632282</v>
      </c>
    </row>
    <row r="24" spans="1:23" ht="29.45" customHeight="1">
      <c r="A24" s="538" t="s">
        <v>156</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3" s="12" customFormat="1"/>
    <row r="26" spans="1:23" s="12" customFormat="1"/>
    <row r="27" spans="1:23" s="12" customFormat="1"/>
    <row r="28" spans="1:23" s="12" customFormat="1"/>
    <row r="29" spans="1:23" s="12" customFormat="1"/>
    <row r="30" spans="1:23" s="12" customFormat="1"/>
    <row r="31" spans="1:23" s="12" customFormat="1"/>
    <row r="32" spans="1:23" s="12" customFormat="1"/>
    <row r="33" s="12" customFormat="1"/>
    <row r="34" s="12" customFormat="1"/>
    <row r="35" s="12" customFormat="1"/>
  </sheetData>
  <mergeCells count="1">
    <mergeCell ref="A24:W24"/>
  </mergeCells>
  <printOptions headings="1" gridLines="1"/>
  <pageMargins left="0.5" right="0.5" top="0.5" bottom="0.5" header="0" footer="0"/>
  <pageSetup paperSize="5" scale="67" orientation="landscape"/>
  <legacyDrawing r:id="rId1"/>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9FFD-BE5E-46E6-80BC-FC5D5362230D}">
  <dimension ref="A1:HL11"/>
  <sheetViews>
    <sheetView workbookViewId="0">
      <selection activeCell="K14" sqref="K14"/>
    </sheetView>
  </sheetViews>
  <sheetFormatPr defaultRowHeight="15"/>
  <cols>
    <col min="5" max="5" width="12.7109375" customWidth="1"/>
    <col min="6" max="6" width="11.140625" customWidth="1"/>
    <col min="7" max="7" width="13.42578125" customWidth="1"/>
    <col min="8" max="8" width="14.5703125" customWidth="1"/>
    <col min="10" max="10" width="11.7109375" customWidth="1"/>
    <col min="11" max="11" width="15.42578125" customWidth="1"/>
    <col min="12" max="12" width="12" customWidth="1"/>
    <col min="13" max="13" width="14.28515625" customWidth="1"/>
    <col min="14" max="14" width="13.140625" customWidth="1"/>
    <col min="15" max="15" width="13.28515625" customWidth="1"/>
    <col min="16" max="16" width="15.42578125" customWidth="1"/>
    <col min="19" max="19" width="11.7109375" customWidth="1"/>
    <col min="21" max="21" width="10.85546875" customWidth="1"/>
    <col min="23" max="23" width="12.5703125" customWidth="1"/>
  </cols>
  <sheetData>
    <row r="1" spans="1:220" s="1" customFormat="1" ht="18.75">
      <c r="A1" s="1" t="s">
        <v>157</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row>
    <row r="2" spans="1:220" s="3" customFormat="1" ht="60" customHeight="1">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row>
    <row r="3" spans="1:220" s="3" customFormat="1">
      <c r="A3" s="105">
        <v>2022</v>
      </c>
      <c r="B3" s="17">
        <v>7</v>
      </c>
      <c r="C3" s="260">
        <v>8.33</v>
      </c>
      <c r="D3" s="23">
        <f>SUM(B3:C3)</f>
        <v>15.33</v>
      </c>
      <c r="E3" s="82">
        <f>ROUND((O3/B3), 0)</f>
        <v>12</v>
      </c>
      <c r="F3" s="82">
        <f>ROUND((O3/D3), 0)</f>
        <v>6</v>
      </c>
      <c r="G3" s="17">
        <v>7</v>
      </c>
      <c r="H3" s="260">
        <v>8.33</v>
      </c>
      <c r="I3" s="17">
        <v>27</v>
      </c>
      <c r="J3" s="17">
        <v>173</v>
      </c>
      <c r="K3" s="23">
        <f t="shared" ref="K3" si="0">SUM(I3:J3)</f>
        <v>200</v>
      </c>
      <c r="L3" s="260">
        <v>57.67</v>
      </c>
      <c r="M3" s="82">
        <f>(I3+L3)</f>
        <v>84.67</v>
      </c>
      <c r="N3" s="17">
        <v>46</v>
      </c>
      <c r="O3" s="17">
        <v>85</v>
      </c>
      <c r="P3" s="133">
        <f t="shared" ref="P3" si="1">M3/O3</f>
        <v>0.99611764705882355</v>
      </c>
      <c r="Q3" s="17">
        <v>57</v>
      </c>
      <c r="R3" s="17">
        <v>0</v>
      </c>
      <c r="S3" s="20">
        <v>816444.3</v>
      </c>
      <c r="T3" s="24">
        <f>SUM(U3:V3)</f>
        <v>816444.3</v>
      </c>
      <c r="U3" s="20">
        <v>816444.3</v>
      </c>
      <c r="V3" s="20">
        <v>0</v>
      </c>
      <c r="W3" s="135">
        <f t="shared" ref="W3" si="2">V3/T3</f>
        <v>0</v>
      </c>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row>
    <row r="4" spans="1:220" s="3" customFormat="1">
      <c r="A4" s="105">
        <v>2021</v>
      </c>
      <c r="B4" s="17">
        <v>6</v>
      </c>
      <c r="C4" s="260">
        <v>10.67</v>
      </c>
      <c r="D4" s="23">
        <f>SUM(B4:C4)</f>
        <v>16.670000000000002</v>
      </c>
      <c r="E4" s="82">
        <f>ROUND((O4/B4), 0)</f>
        <v>10</v>
      </c>
      <c r="F4" s="82">
        <f>ROUND((O4/D4), 0)</f>
        <v>4</v>
      </c>
      <c r="G4" s="17">
        <v>6</v>
      </c>
      <c r="H4" s="260">
        <v>10.67</v>
      </c>
      <c r="I4" s="17">
        <v>10</v>
      </c>
      <c r="J4" s="17">
        <v>113</v>
      </c>
      <c r="K4" s="23">
        <f t="shared" ref="K4" si="3">SUM(I4:J4)</f>
        <v>123</v>
      </c>
      <c r="L4" s="260">
        <v>40.869999999999997</v>
      </c>
      <c r="M4" s="82">
        <f>(I4+L4)</f>
        <v>50.87</v>
      </c>
      <c r="N4" s="17">
        <v>23</v>
      </c>
      <c r="O4" s="17">
        <v>62</v>
      </c>
      <c r="P4" s="133">
        <f t="shared" ref="P4" si="4">M4/O4</f>
        <v>0.82048387096774189</v>
      </c>
      <c r="Q4" s="17">
        <v>51</v>
      </c>
      <c r="R4" s="17">
        <v>5</v>
      </c>
      <c r="S4" s="20">
        <v>793125</v>
      </c>
      <c r="T4" s="24">
        <f>SUM(U4:V4)</f>
        <v>793125</v>
      </c>
      <c r="U4" s="20">
        <v>793125</v>
      </c>
      <c r="V4" s="20">
        <v>0</v>
      </c>
      <c r="W4" s="135">
        <f t="shared" ref="W4" si="5">V4/T4</f>
        <v>0</v>
      </c>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row>
    <row r="5" spans="1:220" s="3" customFormat="1">
      <c r="A5" s="105">
        <v>2020</v>
      </c>
      <c r="B5" s="17">
        <v>5</v>
      </c>
      <c r="C5" s="260">
        <v>5.67</v>
      </c>
      <c r="D5" s="23">
        <f>SUM(B5:C5)</f>
        <v>10.67</v>
      </c>
      <c r="E5" s="82">
        <f>ROUND((O5/B5), 0)</f>
        <v>12</v>
      </c>
      <c r="F5" s="82">
        <f>ROUND((O5/D5), 0)</f>
        <v>6</v>
      </c>
      <c r="G5" s="17">
        <v>5</v>
      </c>
      <c r="H5" s="260">
        <v>5.67</v>
      </c>
      <c r="I5" s="17">
        <v>12</v>
      </c>
      <c r="J5" s="17">
        <v>117</v>
      </c>
      <c r="K5" s="23">
        <f t="shared" ref="K5:K6" si="6">SUM(I5:J5)</f>
        <v>129</v>
      </c>
      <c r="L5" s="260">
        <v>42.32</v>
      </c>
      <c r="M5" s="82">
        <f>(I5+L5)</f>
        <v>54.32</v>
      </c>
      <c r="N5" s="17">
        <v>23</v>
      </c>
      <c r="O5" s="17">
        <v>60</v>
      </c>
      <c r="P5" s="133">
        <f t="shared" ref="P5:P6" si="7">M5/O5</f>
        <v>0.90533333333333332</v>
      </c>
      <c r="Q5" s="17">
        <v>45</v>
      </c>
      <c r="R5" s="17">
        <v>7</v>
      </c>
      <c r="S5" s="20">
        <v>660979.77</v>
      </c>
      <c r="T5" s="24">
        <f>SUM(U5:V5)</f>
        <v>660980</v>
      </c>
      <c r="U5" s="20">
        <v>660980</v>
      </c>
      <c r="V5" s="20">
        <v>0</v>
      </c>
      <c r="W5" s="135">
        <f t="shared" ref="W5:W6" si="8">V5/T5</f>
        <v>0</v>
      </c>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row>
    <row r="6" spans="1:220" s="3" customFormat="1">
      <c r="A6" s="105">
        <v>2019</v>
      </c>
      <c r="B6" s="17">
        <v>5</v>
      </c>
      <c r="C6" s="17">
        <v>9.67</v>
      </c>
      <c r="D6" s="23">
        <f>SUM(B6:C6)</f>
        <v>14.67</v>
      </c>
      <c r="E6" s="82">
        <f>ROUND((O6/B6), 0)</f>
        <v>10</v>
      </c>
      <c r="F6" s="82">
        <f>ROUND((O6/D6), 0)</f>
        <v>3</v>
      </c>
      <c r="G6" s="17">
        <v>5</v>
      </c>
      <c r="H6" s="17">
        <v>9.67</v>
      </c>
      <c r="I6" s="17">
        <v>7</v>
      </c>
      <c r="J6" s="17">
        <v>76</v>
      </c>
      <c r="K6" s="23">
        <f t="shared" si="6"/>
        <v>83</v>
      </c>
      <c r="L6" s="17">
        <v>29.66</v>
      </c>
      <c r="M6" s="82">
        <f>(I6+L6)</f>
        <v>36.659999999999997</v>
      </c>
      <c r="N6" s="17">
        <v>20</v>
      </c>
      <c r="O6" s="17">
        <v>48</v>
      </c>
      <c r="P6" s="133">
        <f t="shared" si="7"/>
        <v>0.76374999999999993</v>
      </c>
      <c r="Q6" s="17">
        <v>0</v>
      </c>
      <c r="R6" s="17">
        <v>59</v>
      </c>
      <c r="S6" s="20">
        <v>638453</v>
      </c>
      <c r="T6" s="24">
        <v>639503</v>
      </c>
      <c r="U6" s="20">
        <v>638453</v>
      </c>
      <c r="V6" s="20">
        <v>1050</v>
      </c>
      <c r="W6" s="135">
        <f t="shared" si="8"/>
        <v>1.6419000379982579E-3</v>
      </c>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row>
    <row r="7" spans="1:220" s="12" customFormat="1">
      <c r="A7" s="396"/>
      <c r="G7"/>
      <c r="H7"/>
    </row>
    <row r="8" spans="1:220" ht="15.75">
      <c r="A8" s="559" t="s">
        <v>158</v>
      </c>
      <c r="B8" s="560"/>
      <c r="C8" s="560"/>
      <c r="D8" s="560"/>
      <c r="E8" s="560"/>
      <c r="F8" s="560"/>
      <c r="G8" s="560"/>
      <c r="H8" s="560"/>
      <c r="I8" s="560"/>
      <c r="J8" s="560"/>
      <c r="K8" s="560"/>
      <c r="L8" s="560"/>
      <c r="M8" s="560"/>
      <c r="N8" s="560"/>
      <c r="O8" s="560"/>
      <c r="P8" s="560"/>
      <c r="Q8" s="560"/>
      <c r="R8" s="560"/>
    </row>
    <row r="9" spans="1:220" ht="15.75">
      <c r="A9" s="559" t="s">
        <v>159</v>
      </c>
      <c r="B9" s="560"/>
      <c r="C9" s="560"/>
      <c r="D9" s="560"/>
      <c r="E9" s="560"/>
      <c r="F9" s="560"/>
      <c r="G9" s="560"/>
      <c r="H9" s="560"/>
      <c r="I9" s="560"/>
      <c r="J9" s="560"/>
      <c r="K9" s="560"/>
      <c r="L9" s="560"/>
      <c r="M9" s="560"/>
      <c r="N9" s="560"/>
      <c r="O9" s="560"/>
      <c r="P9" s="560"/>
      <c r="Q9" s="560"/>
      <c r="R9" s="560"/>
    </row>
    <row r="10" spans="1:220" ht="15.75">
      <c r="A10" s="559" t="s">
        <v>160</v>
      </c>
      <c r="B10" s="560"/>
      <c r="C10" s="560"/>
      <c r="D10" s="560"/>
      <c r="E10" s="560"/>
      <c r="F10" s="560"/>
      <c r="G10" s="560"/>
      <c r="H10" s="560"/>
      <c r="I10" s="560"/>
      <c r="J10" s="560"/>
      <c r="K10" s="560"/>
      <c r="L10" s="560"/>
      <c r="M10" s="560"/>
      <c r="N10" s="560"/>
      <c r="O10" s="560"/>
      <c r="P10" s="560"/>
      <c r="Q10" s="560"/>
      <c r="R10" s="560"/>
    </row>
    <row r="11" spans="1:220" ht="15.75">
      <c r="A11" s="560" t="s">
        <v>161</v>
      </c>
      <c r="B11" s="560"/>
      <c r="C11" s="560"/>
      <c r="D11" s="560"/>
      <c r="E11" s="560"/>
      <c r="F11" s="560"/>
      <c r="G11" s="560"/>
      <c r="H11" s="560"/>
      <c r="I11" s="560"/>
      <c r="J11" s="560"/>
      <c r="K11" s="560"/>
      <c r="L11" s="560"/>
      <c r="M11" s="560"/>
      <c r="N11" s="560"/>
      <c r="O11" s="560"/>
      <c r="P11" s="560"/>
      <c r="Q11" s="560"/>
      <c r="R11" s="560"/>
    </row>
  </sheetData>
  <mergeCells count="4">
    <mergeCell ref="A8:R8"/>
    <mergeCell ref="A9:R9"/>
    <mergeCell ref="A10:R10"/>
    <mergeCell ref="A11:R1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HL28"/>
  <sheetViews>
    <sheetView workbookViewId="0">
      <selection activeCell="C20" sqref="C20"/>
    </sheetView>
  </sheetViews>
  <sheetFormatPr defaultColWidth="8.85546875" defaultRowHeight="15"/>
  <cols>
    <col min="1" max="1" width="9.8554687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28515625" bestFit="1" customWidth="1"/>
    <col min="22" max="22" width="10.85546875" bestFit="1" customWidth="1"/>
    <col min="23" max="23" width="12.85546875" bestFit="1" customWidth="1"/>
  </cols>
  <sheetData>
    <row r="1" spans="1:220" s="7" customFormat="1" ht="18.75">
      <c r="A1" s="1" t="s">
        <v>162</v>
      </c>
      <c r="B1" s="2"/>
      <c r="C1" s="1"/>
      <c r="D1" s="1"/>
      <c r="E1" s="1"/>
      <c r="F1" s="1"/>
      <c r="G1" s="1"/>
      <c r="H1" s="1"/>
      <c r="I1" s="1"/>
      <c r="J1" s="1"/>
      <c r="K1" s="1"/>
      <c r="L1" s="1"/>
      <c r="M1" s="1"/>
      <c r="N1" s="1"/>
      <c r="O1" s="1"/>
      <c r="P1" s="1"/>
      <c r="Q1" s="1"/>
      <c r="R1" s="1"/>
      <c r="S1" s="1"/>
      <c r="T1" s="1"/>
      <c r="U1" s="1"/>
      <c r="V1" s="1"/>
      <c r="W1" s="100"/>
    </row>
    <row r="2" spans="1:220" s="22"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94"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row>
    <row r="3" spans="1:220">
      <c r="A3" s="105">
        <v>2022</v>
      </c>
      <c r="B3" s="295">
        <v>6</v>
      </c>
      <c r="C3" s="295">
        <v>0.43</v>
      </c>
      <c r="D3" s="65">
        <f t="shared" ref="D3" si="0">SUM(B3:C3)</f>
        <v>6.43</v>
      </c>
      <c r="E3" s="13">
        <f t="shared" ref="E3" si="1">ROUND((O3/B3), 0)</f>
        <v>7</v>
      </c>
      <c r="F3" s="13">
        <f t="shared" ref="F3" si="2">ROUND((O3/D3), 0)</f>
        <v>6</v>
      </c>
      <c r="G3" s="295">
        <v>6</v>
      </c>
      <c r="H3" s="295">
        <v>0.43</v>
      </c>
      <c r="I3" s="295">
        <v>31</v>
      </c>
      <c r="J3" s="295">
        <v>32</v>
      </c>
      <c r="K3" s="65">
        <f t="shared" ref="K3" si="3">SUM(I3:J3)</f>
        <v>63</v>
      </c>
      <c r="L3" s="295">
        <v>9.6</v>
      </c>
      <c r="M3" s="13">
        <f t="shared" ref="M3" si="4">(I3+L3)</f>
        <v>40.6</v>
      </c>
      <c r="N3" s="105" t="s">
        <v>40</v>
      </c>
      <c r="O3" s="295">
        <v>40.6</v>
      </c>
      <c r="P3" s="134">
        <f t="shared" ref="P3" si="5">M3/O3</f>
        <v>1</v>
      </c>
      <c r="Q3" s="295">
        <v>19</v>
      </c>
      <c r="R3" s="295">
        <v>0</v>
      </c>
      <c r="S3" s="296">
        <v>1063800</v>
      </c>
      <c r="T3" s="297">
        <f t="shared" ref="T3" si="6">SUM(U3:V3)</f>
        <v>1063800</v>
      </c>
      <c r="U3" s="296">
        <v>1063800</v>
      </c>
      <c r="V3" s="375">
        <v>0</v>
      </c>
      <c r="W3" s="135">
        <f t="shared" ref="W3" si="7">V3/T3</f>
        <v>0</v>
      </c>
    </row>
    <row r="4" spans="1:220">
      <c r="A4" s="105">
        <v>2021</v>
      </c>
      <c r="B4" s="295">
        <v>5</v>
      </c>
      <c r="C4" s="295">
        <v>1.72</v>
      </c>
      <c r="D4" s="65">
        <f>SUM(B4:C4)</f>
        <v>6.72</v>
      </c>
      <c r="E4" s="13">
        <f t="shared" ref="E4" si="8">ROUND((O4/B4), 0)</f>
        <v>8</v>
      </c>
      <c r="F4" s="13">
        <f t="shared" ref="F4" si="9">ROUND((O4/D4), 0)</f>
        <v>6</v>
      </c>
      <c r="G4" s="295">
        <v>5</v>
      </c>
      <c r="H4" s="295">
        <v>1.72</v>
      </c>
      <c r="I4" s="295">
        <v>31</v>
      </c>
      <c r="J4" s="295">
        <v>27</v>
      </c>
      <c r="K4" s="65">
        <f t="shared" ref="K4" si="10">SUM(I4:J4)</f>
        <v>58</v>
      </c>
      <c r="L4" s="295">
        <v>8.1</v>
      </c>
      <c r="M4" s="13">
        <f>(I4+L4)</f>
        <v>39.1</v>
      </c>
      <c r="N4" s="105" t="s">
        <v>40</v>
      </c>
      <c r="O4" s="295">
        <v>40.4</v>
      </c>
      <c r="P4" s="134">
        <f t="shared" ref="P4" si="11">M4/O4</f>
        <v>0.9678217821782179</v>
      </c>
      <c r="Q4" s="295">
        <v>11</v>
      </c>
      <c r="R4" s="295">
        <v>1</v>
      </c>
      <c r="S4" s="296">
        <v>1014735</v>
      </c>
      <c r="T4" s="297">
        <f t="shared" ref="T4" si="12">SUM(U4:V4)</f>
        <v>1014735</v>
      </c>
      <c r="U4" s="296">
        <v>1014735</v>
      </c>
      <c r="V4" s="375">
        <v>0</v>
      </c>
      <c r="W4" s="135">
        <f t="shared" ref="W4" si="13">V4/T4</f>
        <v>0</v>
      </c>
    </row>
    <row r="5" spans="1:220">
      <c r="A5" s="105">
        <v>2020</v>
      </c>
      <c r="B5" s="295">
        <v>5</v>
      </c>
      <c r="C5" s="295">
        <f>8*0.43</f>
        <v>3.44</v>
      </c>
      <c r="D5" s="65">
        <f>SUM(B5:C5)</f>
        <v>8.44</v>
      </c>
      <c r="E5" s="13">
        <f>ROUND((O5/B5), 0)</f>
        <v>8</v>
      </c>
      <c r="F5" s="13">
        <f>ROUND((O5/D5), 0)</f>
        <v>4</v>
      </c>
      <c r="G5" s="295">
        <v>5</v>
      </c>
      <c r="H5" s="295">
        <f>8*0.43</f>
        <v>3.44</v>
      </c>
      <c r="I5" s="295">
        <v>30</v>
      </c>
      <c r="J5" s="295">
        <v>21</v>
      </c>
      <c r="K5" s="65">
        <f t="shared" ref="K5" si="14">SUM(I5:J5)</f>
        <v>51</v>
      </c>
      <c r="L5" s="295">
        <v>6.3</v>
      </c>
      <c r="M5" s="13">
        <f>(I5+L5)</f>
        <v>36.299999999999997</v>
      </c>
      <c r="N5" s="105" t="s">
        <v>40</v>
      </c>
      <c r="O5" s="295">
        <v>37.6</v>
      </c>
      <c r="P5" s="134">
        <f t="shared" ref="P5" si="15">M5/O5</f>
        <v>0.96542553191489355</v>
      </c>
      <c r="Q5" s="295">
        <v>20</v>
      </c>
      <c r="R5" s="295">
        <v>3</v>
      </c>
      <c r="S5" s="296">
        <v>980493</v>
      </c>
      <c r="T5" s="297">
        <v>980493</v>
      </c>
      <c r="U5" s="296">
        <v>980493</v>
      </c>
      <c r="V5" s="375">
        <v>0</v>
      </c>
      <c r="W5" s="135">
        <f t="shared" ref="W5" si="16">V5/T5</f>
        <v>0</v>
      </c>
    </row>
    <row r="6" spans="1:220" s="80" customFormat="1">
      <c r="A6" s="105">
        <v>2019</v>
      </c>
      <c r="B6" s="66">
        <v>5</v>
      </c>
      <c r="C6" s="66">
        <v>1.72</v>
      </c>
      <c r="D6" s="65">
        <f>SUM(B6:C6)</f>
        <v>6.72</v>
      </c>
      <c r="E6" s="13">
        <f>ROUND((O6/B6), 0)</f>
        <v>5</v>
      </c>
      <c r="F6" s="13">
        <f>ROUND((O6/D6), 0)</f>
        <v>4</v>
      </c>
      <c r="G6" s="66">
        <v>5</v>
      </c>
      <c r="H6" s="66">
        <v>1.72</v>
      </c>
      <c r="I6" s="66">
        <v>14</v>
      </c>
      <c r="J6" s="66">
        <v>25</v>
      </c>
      <c r="K6" s="65">
        <f t="shared" ref="K6" si="17">SUM(I6:J6)</f>
        <v>39</v>
      </c>
      <c r="L6" s="66">
        <v>7.5</v>
      </c>
      <c r="M6" s="13">
        <f>(I6+L6)</f>
        <v>21.5</v>
      </c>
      <c r="N6" s="399" t="s">
        <v>40</v>
      </c>
      <c r="O6" s="66">
        <v>26.1</v>
      </c>
      <c r="P6" s="134">
        <f t="shared" ref="P6" si="18">M6/O6</f>
        <v>0.82375478927203061</v>
      </c>
      <c r="Q6" s="66">
        <v>15</v>
      </c>
      <c r="R6" s="66">
        <v>0</v>
      </c>
      <c r="S6" s="304">
        <v>775150</v>
      </c>
      <c r="T6" s="68">
        <f t="shared" ref="T6" si="19">SUM(U6:V6)</f>
        <v>775150</v>
      </c>
      <c r="U6" s="304">
        <v>775150</v>
      </c>
      <c r="V6" s="376">
        <v>0</v>
      </c>
      <c r="W6" s="135">
        <f t="shared" ref="W6" si="20">V6/T6</f>
        <v>0</v>
      </c>
    </row>
    <row r="7" spans="1:220" s="14" customFormat="1">
      <c r="A7" s="10">
        <v>2018</v>
      </c>
      <c r="B7" s="17">
        <v>5</v>
      </c>
      <c r="C7" s="17">
        <v>0.86</v>
      </c>
      <c r="D7" s="23">
        <f>SUM(B7:C7)</f>
        <v>5.86</v>
      </c>
      <c r="E7" s="82">
        <f>ROUND((O7/B7), 0)</f>
        <v>6</v>
      </c>
      <c r="F7" s="82">
        <f>ROUND((O7/D7), 0)</f>
        <v>5</v>
      </c>
      <c r="G7" s="17">
        <v>5</v>
      </c>
      <c r="H7" s="17">
        <v>0.86</v>
      </c>
      <c r="I7" s="17">
        <v>24</v>
      </c>
      <c r="J7" s="17">
        <v>20</v>
      </c>
      <c r="K7" s="23">
        <f t="shared" ref="K7" si="21">SUM(I7:J7)</f>
        <v>44</v>
      </c>
      <c r="L7" s="17">
        <v>6</v>
      </c>
      <c r="M7" s="82">
        <f>(I7+L7)</f>
        <v>30</v>
      </c>
      <c r="N7" s="285" t="s">
        <v>40</v>
      </c>
      <c r="O7" s="17">
        <v>30.3</v>
      </c>
      <c r="P7" s="133">
        <f>M7/O7</f>
        <v>0.99009900990099009</v>
      </c>
      <c r="Q7" s="17">
        <v>20</v>
      </c>
      <c r="R7" s="17">
        <v>0</v>
      </c>
      <c r="S7" s="20">
        <v>861285</v>
      </c>
      <c r="T7" s="24">
        <f>SUM(U7:V7)</f>
        <v>861285</v>
      </c>
      <c r="U7" s="20">
        <f>S7-V7</f>
        <v>649081</v>
      </c>
      <c r="V7" s="20">
        <v>212204</v>
      </c>
      <c r="W7" s="135">
        <f>V7/T7</f>
        <v>0.24638069860731349</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5</v>
      </c>
      <c r="C8" s="17">
        <f>4*0.43</f>
        <v>1.72</v>
      </c>
      <c r="D8" s="27">
        <f>SUM(B8:C8)</f>
        <v>6.72</v>
      </c>
      <c r="E8" s="27">
        <f>ROUND((O8/B8), 0)</f>
        <v>5</v>
      </c>
      <c r="F8" s="27">
        <f>ROUND((O8/D8), 0)</f>
        <v>3</v>
      </c>
      <c r="G8" s="17">
        <v>5</v>
      </c>
      <c r="H8" s="17">
        <f>4*0.43</f>
        <v>1.72</v>
      </c>
      <c r="I8" s="17">
        <v>17</v>
      </c>
      <c r="J8" s="17">
        <v>22</v>
      </c>
      <c r="K8" s="27">
        <f>SUM(I8:J8)</f>
        <v>39</v>
      </c>
      <c r="L8" s="17">
        <v>6.6</v>
      </c>
      <c r="M8" s="29">
        <f>(I8+L8)</f>
        <v>23.6</v>
      </c>
      <c r="N8" s="15" t="s">
        <v>40</v>
      </c>
      <c r="O8" s="255">
        <v>23.3</v>
      </c>
      <c r="P8" s="133">
        <f t="shared" ref="P8:P16" si="22">M8/O8</f>
        <v>1.0128755364806867</v>
      </c>
      <c r="Q8" s="17">
        <v>21</v>
      </c>
      <c r="R8" s="17">
        <v>0</v>
      </c>
      <c r="S8" s="223">
        <v>686069</v>
      </c>
      <c r="T8" s="28">
        <f>SUM(U8:V8)</f>
        <v>686069</v>
      </c>
      <c r="U8" s="252">
        <v>545971</v>
      </c>
      <c r="V8" s="261">
        <v>140098</v>
      </c>
      <c r="W8" s="135">
        <f t="shared" ref="W8:W18" si="23">V8/T8</f>
        <v>0.20420395033152641</v>
      </c>
    </row>
    <row r="9" spans="1:220" s="54" customFormat="1">
      <c r="A9" s="10">
        <v>2016</v>
      </c>
      <c r="B9" s="54">
        <v>4</v>
      </c>
      <c r="C9" s="54">
        <v>1.29</v>
      </c>
      <c r="D9" s="23">
        <f>B9+C9</f>
        <v>5.29</v>
      </c>
      <c r="E9" s="82">
        <f>ROUND((O9/B9), 0)</f>
        <v>10</v>
      </c>
      <c r="F9" s="82">
        <f>ROUND((O9/D9), 0)</f>
        <v>7</v>
      </c>
      <c r="G9" s="54">
        <v>4</v>
      </c>
      <c r="H9" s="54">
        <v>1.29</v>
      </c>
      <c r="I9" s="54">
        <v>34</v>
      </c>
      <c r="J9" s="54">
        <v>17</v>
      </c>
      <c r="K9" s="23">
        <f>I9+J9</f>
        <v>51</v>
      </c>
      <c r="L9" s="54">
        <v>5.0999999999999996</v>
      </c>
      <c r="M9" s="82">
        <f>I9+L9</f>
        <v>39.1</v>
      </c>
      <c r="N9" s="15" t="s">
        <v>40</v>
      </c>
      <c r="O9" s="54">
        <v>39.4</v>
      </c>
      <c r="P9" s="133">
        <f t="shared" si="22"/>
        <v>0.99238578680203049</v>
      </c>
      <c r="Q9" s="54">
        <v>21</v>
      </c>
      <c r="R9" s="54">
        <v>2</v>
      </c>
      <c r="S9" s="55">
        <v>618387</v>
      </c>
      <c r="T9" s="24">
        <f>SUM(U9:V9)</f>
        <v>618387</v>
      </c>
      <c r="U9" s="55">
        <v>486308</v>
      </c>
      <c r="V9" s="96">
        <v>132079</v>
      </c>
      <c r="W9" s="135">
        <f t="shared" si="23"/>
        <v>0.21358631407193229</v>
      </c>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row>
    <row r="10" spans="1:220" s="54" customFormat="1">
      <c r="A10" s="10">
        <v>2015</v>
      </c>
      <c r="B10" s="54">
        <v>4</v>
      </c>
      <c r="C10" s="54">
        <v>0.86</v>
      </c>
      <c r="D10" s="19">
        <v>4.8600000000000003</v>
      </c>
      <c r="E10" s="19">
        <v>9.25</v>
      </c>
      <c r="F10" s="19">
        <v>7.6</v>
      </c>
      <c r="G10" s="83"/>
      <c r="H10" s="83"/>
      <c r="I10" s="54">
        <v>31</v>
      </c>
      <c r="J10" s="54">
        <v>18</v>
      </c>
      <c r="K10" s="19">
        <v>49</v>
      </c>
      <c r="L10" s="54">
        <v>6</v>
      </c>
      <c r="M10" s="19">
        <v>37</v>
      </c>
      <c r="N10" s="15" t="s">
        <v>40</v>
      </c>
      <c r="O10" s="54">
        <v>37</v>
      </c>
      <c r="P10" s="133">
        <f t="shared" si="22"/>
        <v>1</v>
      </c>
      <c r="Q10" s="54">
        <v>12</v>
      </c>
      <c r="R10" s="54">
        <v>2</v>
      </c>
      <c r="S10" s="58">
        <v>755172</v>
      </c>
      <c r="T10" s="69">
        <v>755172</v>
      </c>
      <c r="U10" s="58">
        <v>522452</v>
      </c>
      <c r="V10" s="97">
        <v>232720</v>
      </c>
      <c r="W10" s="135">
        <f t="shared" si="23"/>
        <v>0.30816820538897099</v>
      </c>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row>
    <row r="11" spans="1:220">
      <c r="A11" s="15">
        <v>2014</v>
      </c>
      <c r="B11" s="528">
        <v>6</v>
      </c>
      <c r="C11" s="528">
        <v>1.2</v>
      </c>
      <c r="D11" s="23">
        <f>B11+C11</f>
        <v>7.2</v>
      </c>
      <c r="E11" s="82">
        <f>ROUND((O11/B11), 0)</f>
        <v>5</v>
      </c>
      <c r="F11" s="82">
        <f>ROUND((O11/D11), 0)</f>
        <v>4</v>
      </c>
      <c r="G11" s="83"/>
      <c r="H11" s="83"/>
      <c r="I11" s="528">
        <v>15</v>
      </c>
      <c r="J11" s="528">
        <v>40</v>
      </c>
      <c r="K11" s="23">
        <f>I11+J11</f>
        <v>55</v>
      </c>
      <c r="L11" s="528">
        <v>12</v>
      </c>
      <c r="M11" s="82">
        <f>I11+L11</f>
        <v>27</v>
      </c>
      <c r="N11" s="15" t="s">
        <v>40</v>
      </c>
      <c r="O11" s="528">
        <v>29</v>
      </c>
      <c r="P11" s="133">
        <f t="shared" si="22"/>
        <v>0.93103448275862066</v>
      </c>
      <c r="Q11" s="528">
        <v>22</v>
      </c>
      <c r="R11" s="528">
        <v>0</v>
      </c>
      <c r="S11" s="84">
        <v>996970</v>
      </c>
      <c r="T11" s="24">
        <f>SUM(U11:V11)</f>
        <v>996970</v>
      </c>
      <c r="U11" s="84">
        <v>767935</v>
      </c>
      <c r="V11" s="98">
        <v>229035</v>
      </c>
      <c r="W11" s="135">
        <f t="shared" si="23"/>
        <v>0.22973108518811999</v>
      </c>
    </row>
    <row r="12" spans="1:220">
      <c r="A12" s="202">
        <v>2013</v>
      </c>
      <c r="B12" s="86">
        <v>6</v>
      </c>
      <c r="C12" s="86">
        <v>1.2</v>
      </c>
      <c r="D12" s="87">
        <v>7.2</v>
      </c>
      <c r="E12" s="88">
        <v>5</v>
      </c>
      <c r="F12" s="88">
        <v>4</v>
      </c>
      <c r="G12" s="85"/>
      <c r="H12" s="85"/>
      <c r="I12" s="528">
        <v>15</v>
      </c>
      <c r="J12" s="528">
        <v>40</v>
      </c>
      <c r="K12" s="87">
        <v>55</v>
      </c>
      <c r="L12" s="528">
        <v>12</v>
      </c>
      <c r="M12" s="88">
        <v>27</v>
      </c>
      <c r="N12" s="15" t="s">
        <v>40</v>
      </c>
      <c r="O12" s="528">
        <v>28.3</v>
      </c>
      <c r="P12" s="133">
        <f t="shared" si="22"/>
        <v>0.95406360424028269</v>
      </c>
      <c r="Q12" s="528">
        <v>22</v>
      </c>
      <c r="R12" s="86">
        <v>1</v>
      </c>
      <c r="S12" s="84">
        <v>620659</v>
      </c>
      <c r="T12" s="24">
        <v>620659</v>
      </c>
      <c r="U12" s="84">
        <v>325405</v>
      </c>
      <c r="V12" s="98">
        <v>295254</v>
      </c>
      <c r="W12" s="135">
        <f t="shared" si="23"/>
        <v>0.47571049481277161</v>
      </c>
      <c r="X12" s="95"/>
    </row>
    <row r="13" spans="1:220">
      <c r="A13" s="15">
        <v>2012</v>
      </c>
      <c r="B13" s="528">
        <v>5</v>
      </c>
      <c r="C13" s="528">
        <v>1</v>
      </c>
      <c r="D13" s="23">
        <f>B13+C13</f>
        <v>6</v>
      </c>
      <c r="E13" s="82">
        <f t="shared" ref="E13:E18" si="24">ROUND((O13/B13), 0)</f>
        <v>8</v>
      </c>
      <c r="F13" s="82">
        <f t="shared" ref="F13:F18" si="25">ROUND((O13/D13), 0)</f>
        <v>7</v>
      </c>
      <c r="G13" s="85"/>
      <c r="H13" s="85"/>
      <c r="I13" s="528">
        <v>0</v>
      </c>
      <c r="J13" s="528">
        <v>0</v>
      </c>
      <c r="K13" s="23">
        <f>I13+J13</f>
        <v>0</v>
      </c>
      <c r="L13" s="528">
        <v>0</v>
      </c>
      <c r="M13" s="82">
        <f>I13+L13</f>
        <v>0</v>
      </c>
      <c r="N13" s="15" t="s">
        <v>40</v>
      </c>
      <c r="O13" s="528">
        <v>40.75</v>
      </c>
      <c r="P13" s="133">
        <f t="shared" si="22"/>
        <v>0</v>
      </c>
      <c r="Q13" s="528">
        <v>0</v>
      </c>
      <c r="R13" s="528">
        <v>17</v>
      </c>
      <c r="S13" s="84">
        <v>782913</v>
      </c>
      <c r="T13" s="24">
        <f>SUM(U13:V13)</f>
        <v>782953</v>
      </c>
      <c r="U13" s="84">
        <v>782953</v>
      </c>
      <c r="V13" s="98">
        <v>0</v>
      </c>
      <c r="W13" s="135">
        <f t="shared" si="23"/>
        <v>0</v>
      </c>
    </row>
    <row r="14" spans="1:220">
      <c r="A14" s="15">
        <v>2011</v>
      </c>
      <c r="B14" s="528">
        <v>4.5</v>
      </c>
      <c r="C14" s="528">
        <v>1</v>
      </c>
      <c r="D14" s="23">
        <f>SUM(B14:C14)</f>
        <v>5.5</v>
      </c>
      <c r="E14" s="82">
        <f t="shared" si="24"/>
        <v>9</v>
      </c>
      <c r="F14" s="82">
        <f t="shared" si="25"/>
        <v>8</v>
      </c>
      <c r="G14" s="85"/>
      <c r="H14" s="85"/>
      <c r="I14" s="528">
        <v>30</v>
      </c>
      <c r="J14" s="528">
        <v>32</v>
      </c>
      <c r="K14" s="23">
        <f>SUM(I14:J14)</f>
        <v>62</v>
      </c>
      <c r="L14" s="528">
        <v>11</v>
      </c>
      <c r="M14" s="82">
        <f>(I14+L14)</f>
        <v>41</v>
      </c>
      <c r="N14" s="15" t="s">
        <v>40</v>
      </c>
      <c r="O14" s="528">
        <v>41.25</v>
      </c>
      <c r="P14" s="133">
        <f t="shared" si="22"/>
        <v>0.9939393939393939</v>
      </c>
      <c r="Q14" s="528">
        <v>12</v>
      </c>
      <c r="R14" s="528">
        <v>0</v>
      </c>
      <c r="S14" s="84">
        <v>581565</v>
      </c>
      <c r="T14" s="24">
        <f>SUM(U14:V14)</f>
        <v>641087</v>
      </c>
      <c r="U14" s="84">
        <v>641087</v>
      </c>
      <c r="V14" s="98">
        <v>0</v>
      </c>
      <c r="W14" s="135">
        <f t="shared" si="23"/>
        <v>0</v>
      </c>
    </row>
    <row r="15" spans="1:220">
      <c r="A15" s="15">
        <v>2010</v>
      </c>
      <c r="B15" s="528">
        <v>6</v>
      </c>
      <c r="C15" s="528">
        <v>0.25</v>
      </c>
      <c r="D15" s="23">
        <f>SUM(B15:C15)</f>
        <v>6.25</v>
      </c>
      <c r="E15" s="82">
        <f t="shared" si="24"/>
        <v>7</v>
      </c>
      <c r="F15" s="82">
        <f t="shared" si="25"/>
        <v>7</v>
      </c>
      <c r="G15" s="85"/>
      <c r="H15" s="85"/>
      <c r="I15" s="528">
        <v>30</v>
      </c>
      <c r="J15" s="528">
        <v>30</v>
      </c>
      <c r="K15" s="23">
        <f>SUM(I15:J15)</f>
        <v>60</v>
      </c>
      <c r="L15" s="528">
        <v>11</v>
      </c>
      <c r="M15" s="82">
        <f>(I15+L15)</f>
        <v>41</v>
      </c>
      <c r="N15" s="15" t="s">
        <v>40</v>
      </c>
      <c r="O15" s="528">
        <v>41.25</v>
      </c>
      <c r="P15" s="133">
        <f t="shared" si="22"/>
        <v>0.9939393939393939</v>
      </c>
      <c r="Q15" s="528">
        <v>0</v>
      </c>
      <c r="R15" s="528">
        <v>0</v>
      </c>
      <c r="S15" s="84">
        <v>651886.30000000005</v>
      </c>
      <c r="T15" s="24">
        <f>SUM(U15:V15)</f>
        <v>651886</v>
      </c>
      <c r="U15" s="84">
        <v>651886</v>
      </c>
      <c r="V15" s="98">
        <v>0</v>
      </c>
      <c r="W15" s="135">
        <f t="shared" si="23"/>
        <v>0</v>
      </c>
    </row>
    <row r="16" spans="1:220">
      <c r="A16" s="15">
        <v>2009</v>
      </c>
      <c r="B16" s="528">
        <v>5</v>
      </c>
      <c r="C16" s="528">
        <v>0.5</v>
      </c>
      <c r="D16" s="23">
        <f>SUM(B16:C16)</f>
        <v>5.5</v>
      </c>
      <c r="E16" s="82">
        <f t="shared" si="24"/>
        <v>5</v>
      </c>
      <c r="F16" s="82">
        <f t="shared" si="25"/>
        <v>5</v>
      </c>
      <c r="G16" s="85"/>
      <c r="H16" s="85"/>
      <c r="I16" s="528">
        <v>16</v>
      </c>
      <c r="J16" s="528">
        <v>30</v>
      </c>
      <c r="K16" s="23">
        <f>SUM(I16:J16)</f>
        <v>46</v>
      </c>
      <c r="L16" s="528">
        <v>9.1</v>
      </c>
      <c r="M16" s="82">
        <f>(I16+L16)</f>
        <v>25.1</v>
      </c>
      <c r="N16" s="15" t="s">
        <v>40</v>
      </c>
      <c r="O16" s="528">
        <v>25.1</v>
      </c>
      <c r="P16" s="133">
        <f t="shared" si="22"/>
        <v>1</v>
      </c>
      <c r="Q16" s="528">
        <v>0</v>
      </c>
      <c r="R16" s="528">
        <v>0</v>
      </c>
      <c r="S16" s="84">
        <v>256937</v>
      </c>
      <c r="T16" s="24">
        <f>SUM(U16:V16)</f>
        <v>256937</v>
      </c>
      <c r="U16" s="84">
        <v>256937</v>
      </c>
      <c r="V16" s="98">
        <v>0</v>
      </c>
      <c r="W16" s="135">
        <f t="shared" si="23"/>
        <v>0</v>
      </c>
    </row>
    <row r="17" spans="1:23">
      <c r="A17" s="15">
        <v>2008</v>
      </c>
      <c r="B17" s="528">
        <v>3</v>
      </c>
      <c r="C17" s="528">
        <v>20</v>
      </c>
      <c r="D17" s="23">
        <f>SUM(B17:C17)</f>
        <v>23</v>
      </c>
      <c r="E17" s="82">
        <f t="shared" si="24"/>
        <v>0</v>
      </c>
      <c r="F17" s="82">
        <f t="shared" si="25"/>
        <v>0</v>
      </c>
      <c r="G17" s="85"/>
      <c r="H17" s="85"/>
      <c r="I17" s="528">
        <v>0</v>
      </c>
      <c r="J17" s="528">
        <v>0</v>
      </c>
      <c r="K17" s="23">
        <f>SUM(I17:J17)</f>
        <v>0</v>
      </c>
      <c r="L17" s="528">
        <v>0</v>
      </c>
      <c r="M17" s="82">
        <f>(I17+L17)</f>
        <v>0</v>
      </c>
      <c r="N17" s="15" t="s">
        <v>40</v>
      </c>
      <c r="O17" s="528">
        <v>0</v>
      </c>
      <c r="P17" s="67" t="s">
        <v>40</v>
      </c>
      <c r="Q17" s="528">
        <v>0</v>
      </c>
      <c r="R17" s="528">
        <v>0</v>
      </c>
      <c r="S17" s="84">
        <v>286217</v>
      </c>
      <c r="T17" s="24">
        <f>SUM(U17:V17)</f>
        <v>286217</v>
      </c>
      <c r="U17" s="84">
        <v>276217</v>
      </c>
      <c r="V17" s="98">
        <v>10000</v>
      </c>
      <c r="W17" s="135">
        <f t="shared" si="23"/>
        <v>3.4938525664094028E-2</v>
      </c>
    </row>
    <row r="18" spans="1:23" s="93" customFormat="1">
      <c r="A18" s="10">
        <v>2007</v>
      </c>
      <c r="B18" s="527">
        <v>1</v>
      </c>
      <c r="C18" s="527">
        <v>10</v>
      </c>
      <c r="D18" s="89">
        <f>SUM(B18:C18)</f>
        <v>11</v>
      </c>
      <c r="E18" s="90">
        <f t="shared" si="24"/>
        <v>0</v>
      </c>
      <c r="F18" s="90">
        <f t="shared" si="25"/>
        <v>0</v>
      </c>
      <c r="G18" s="85"/>
      <c r="H18" s="85"/>
      <c r="I18" s="527">
        <v>0</v>
      </c>
      <c r="J18" s="527">
        <v>0</v>
      </c>
      <c r="K18" s="89">
        <f>SUM(I18:J18)</f>
        <v>0</v>
      </c>
      <c r="L18" s="527">
        <v>0</v>
      </c>
      <c r="M18" s="90">
        <f>(I18+L18)</f>
        <v>0</v>
      </c>
      <c r="N18" s="15" t="s">
        <v>40</v>
      </c>
      <c r="O18" s="527">
        <v>0</v>
      </c>
      <c r="P18" s="115" t="s">
        <v>40</v>
      </c>
      <c r="Q18" s="527">
        <v>0</v>
      </c>
      <c r="R18" s="527">
        <v>0</v>
      </c>
      <c r="S18" s="91">
        <v>250557.34</v>
      </c>
      <c r="T18" s="92">
        <f>SUM(U18,V18)</f>
        <v>250557.34</v>
      </c>
      <c r="U18" s="76">
        <v>64932.34</v>
      </c>
      <c r="V18" s="99">
        <v>185625</v>
      </c>
      <c r="W18" s="135">
        <f t="shared" si="23"/>
        <v>0.74084838225054594</v>
      </c>
    </row>
    <row r="19" spans="1:23" s="12" customFormat="1"/>
    <row r="20" spans="1:23" s="12" customFormat="1"/>
    <row r="21" spans="1:23" s="12" customFormat="1"/>
    <row r="22" spans="1:23" s="12" customFormat="1"/>
    <row r="23" spans="1:23" s="12" customFormat="1"/>
    <row r="24" spans="1:23" s="12" customFormat="1"/>
    <row r="25" spans="1:23" s="12" customFormat="1"/>
    <row r="26" spans="1:23" s="12" customFormat="1"/>
    <row r="27" spans="1:23" s="12" customFormat="1"/>
    <row r="28" spans="1:23" s="12" customFormat="1"/>
  </sheetData>
  <printOptions headings="1" gridLines="1"/>
  <pageMargins left="0.5" right="0.5" top="0.5" bottom="0.5" header="0" footer="0"/>
  <pageSetup paperSize="5" scale="65"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Q1003"/>
  <sheetViews>
    <sheetView workbookViewId="0">
      <selection activeCell="Y7" sqref="Y7"/>
    </sheetView>
  </sheetViews>
  <sheetFormatPr defaultColWidth="14.42578125" defaultRowHeight="15" customHeight="1"/>
  <cols>
    <col min="1" max="1" width="9.28515625" customWidth="1"/>
    <col min="2" max="2" width="8.7109375" customWidth="1"/>
    <col min="3" max="3" width="8.42578125" customWidth="1"/>
    <col min="4" max="4" width="9.28515625" customWidth="1"/>
    <col min="5" max="5" width="12.28515625" customWidth="1"/>
    <col min="6" max="6" width="11.42578125" customWidth="1"/>
    <col min="7" max="8" width="12.140625" customWidth="1"/>
    <col min="9" max="9" width="8.85546875" customWidth="1"/>
    <col min="10" max="11" width="11.85546875" customWidth="1"/>
    <col min="12" max="12" width="12.28515625" customWidth="1"/>
    <col min="13" max="13" width="13.140625" customWidth="1"/>
    <col min="14" max="14" width="11.42578125" customWidth="1"/>
    <col min="15" max="15" width="13.42578125" customWidth="1"/>
    <col min="16" max="17" width="12.42578125" customWidth="1"/>
    <col min="18" max="18" width="9" customWidth="1"/>
    <col min="19" max="20" width="11.85546875" customWidth="1"/>
    <col min="21" max="21" width="10.42578125" customWidth="1"/>
    <col min="22" max="22" width="10.85546875" customWidth="1"/>
    <col min="23" max="23" width="12.85546875" customWidth="1"/>
    <col min="24" max="43" width="8.85546875" customWidth="1"/>
  </cols>
  <sheetData>
    <row r="1" spans="1:43" ht="18.75">
      <c r="A1" s="265" t="s">
        <v>39</v>
      </c>
      <c r="B1" s="266"/>
      <c r="C1" s="265"/>
      <c r="D1" s="265"/>
      <c r="E1" s="265"/>
      <c r="F1" s="265"/>
      <c r="G1" s="265"/>
      <c r="H1" s="265"/>
      <c r="I1" s="265"/>
      <c r="J1" s="265"/>
      <c r="K1" s="265"/>
      <c r="L1" s="265"/>
      <c r="M1" s="265"/>
      <c r="N1" s="265"/>
      <c r="O1" s="265"/>
      <c r="P1" s="265"/>
      <c r="Q1" s="265"/>
      <c r="R1" s="265"/>
      <c r="S1" s="265"/>
      <c r="T1" s="265"/>
      <c r="U1" s="265"/>
      <c r="V1" s="265"/>
      <c r="W1" s="265"/>
      <c r="X1" s="34"/>
      <c r="Y1" s="34"/>
      <c r="Z1" s="34"/>
      <c r="AA1" s="34"/>
      <c r="AB1" s="34"/>
      <c r="AC1" s="34"/>
      <c r="AD1" s="34"/>
      <c r="AE1" s="34"/>
      <c r="AF1" s="34"/>
      <c r="AG1" s="34"/>
      <c r="AH1" s="34"/>
      <c r="AI1" s="34"/>
      <c r="AJ1" s="34"/>
      <c r="AK1" s="34"/>
      <c r="AL1" s="34"/>
      <c r="AM1" s="34"/>
      <c r="AN1" s="34"/>
      <c r="AO1" s="34"/>
      <c r="AP1" s="34"/>
      <c r="AQ1" s="34"/>
    </row>
    <row r="2" spans="1:43" ht="60">
      <c r="A2" s="35" t="s">
        <v>4</v>
      </c>
      <c r="B2" s="35" t="s">
        <v>5</v>
      </c>
      <c r="C2" s="35" t="s">
        <v>6</v>
      </c>
      <c r="D2" s="35" t="s">
        <v>7</v>
      </c>
      <c r="E2" s="35" t="s">
        <v>8</v>
      </c>
      <c r="F2" s="35" t="s">
        <v>9</v>
      </c>
      <c r="G2" s="35" t="s">
        <v>10</v>
      </c>
      <c r="H2" s="35" t="s">
        <v>11</v>
      </c>
      <c r="I2" s="35" t="s">
        <v>12</v>
      </c>
      <c r="J2" s="35" t="s">
        <v>13</v>
      </c>
      <c r="K2" s="35" t="s">
        <v>1</v>
      </c>
      <c r="L2" s="35" t="s">
        <v>14</v>
      </c>
      <c r="M2" s="35" t="s">
        <v>15</v>
      </c>
      <c r="N2" s="35" t="s">
        <v>16</v>
      </c>
      <c r="O2" s="35" t="s">
        <v>17</v>
      </c>
      <c r="P2" s="35" t="s">
        <v>18</v>
      </c>
      <c r="Q2" s="35" t="s">
        <v>2</v>
      </c>
      <c r="R2" s="35" t="s">
        <v>19</v>
      </c>
      <c r="S2" s="35" t="s">
        <v>20</v>
      </c>
      <c r="T2" s="35" t="s">
        <v>21</v>
      </c>
      <c r="U2" s="35" t="s">
        <v>22</v>
      </c>
      <c r="V2" s="35" t="s">
        <v>23</v>
      </c>
      <c r="W2" s="35" t="s">
        <v>24</v>
      </c>
      <c r="X2" s="36"/>
      <c r="Y2" s="36"/>
      <c r="Z2" s="36"/>
      <c r="AA2" s="36"/>
      <c r="AB2" s="36"/>
      <c r="AC2" s="36"/>
      <c r="AD2" s="36"/>
      <c r="AE2" s="36"/>
      <c r="AF2" s="36"/>
      <c r="AG2" s="36"/>
      <c r="AH2" s="36"/>
      <c r="AI2" s="36"/>
      <c r="AJ2" s="36"/>
      <c r="AK2" s="36"/>
      <c r="AL2" s="36"/>
      <c r="AM2" s="36"/>
      <c r="AN2" s="36"/>
      <c r="AO2" s="36"/>
      <c r="AP2" s="36"/>
      <c r="AQ2" s="36"/>
    </row>
    <row r="3" spans="1:43">
      <c r="A3" s="465">
        <v>2022</v>
      </c>
      <c r="B3" s="471">
        <v>8</v>
      </c>
      <c r="C3" s="471">
        <v>3.75</v>
      </c>
      <c r="D3" s="466">
        <f t="shared" ref="D3" si="0">SUM(B3:C3)</f>
        <v>11.75</v>
      </c>
      <c r="E3" s="467">
        <f t="shared" ref="E3" si="1">ROUND((O3/B3), 0)</f>
        <v>15</v>
      </c>
      <c r="F3" s="467">
        <f t="shared" ref="F3" si="2">ROUND((O3/D3), 0)</f>
        <v>10</v>
      </c>
      <c r="G3" s="471">
        <v>8</v>
      </c>
      <c r="H3" s="471">
        <v>3.75</v>
      </c>
      <c r="I3" s="471">
        <v>48</v>
      </c>
      <c r="J3" s="471">
        <v>184</v>
      </c>
      <c r="K3" s="466">
        <f t="shared" ref="K3" si="3">SUM(I3:J3)</f>
        <v>232</v>
      </c>
      <c r="L3" s="471">
        <v>68.099999999999994</v>
      </c>
      <c r="M3" s="467">
        <f t="shared" ref="M3" si="4">(I3+L3)</f>
        <v>116.1</v>
      </c>
      <c r="N3" s="472" t="s">
        <v>40</v>
      </c>
      <c r="O3" s="471">
        <v>116.1</v>
      </c>
      <c r="P3" s="468">
        <f t="shared" ref="P3" si="5">M3/O3</f>
        <v>1</v>
      </c>
      <c r="Q3" s="471">
        <v>61</v>
      </c>
      <c r="R3" s="471">
        <v>0</v>
      </c>
      <c r="S3" s="444">
        <v>1651163</v>
      </c>
      <c r="T3" s="469">
        <f t="shared" ref="T3" si="6">SUM(U3:V3)</f>
        <v>2424330</v>
      </c>
      <c r="U3" s="444">
        <v>1853900</v>
      </c>
      <c r="V3" s="444">
        <v>570430</v>
      </c>
      <c r="W3" s="443">
        <f t="shared" ref="W3" si="7">V3/T3</f>
        <v>0.23529387500876531</v>
      </c>
      <c r="X3" s="470"/>
      <c r="Y3" s="470"/>
      <c r="Z3" s="470"/>
      <c r="AA3" s="470"/>
      <c r="AB3" s="470"/>
      <c r="AC3" s="470"/>
      <c r="AD3" s="470"/>
      <c r="AE3" s="470"/>
      <c r="AF3" s="470"/>
      <c r="AG3" s="470"/>
      <c r="AH3" s="470"/>
      <c r="AI3" s="470"/>
      <c r="AJ3" s="470"/>
      <c r="AK3" s="470"/>
      <c r="AL3" s="470"/>
      <c r="AM3" s="470"/>
      <c r="AN3" s="470"/>
      <c r="AO3" s="470"/>
      <c r="AP3" s="470"/>
      <c r="AQ3" s="470"/>
    </row>
    <row r="4" spans="1:43">
      <c r="A4" s="267">
        <v>2021</v>
      </c>
      <c r="B4" s="270">
        <v>9</v>
      </c>
      <c r="C4" s="270">
        <v>3.75</v>
      </c>
      <c r="D4" s="46">
        <f t="shared" ref="D4" si="8">SUM(B4:C4)</f>
        <v>12.75</v>
      </c>
      <c r="E4" s="46">
        <v>15</v>
      </c>
      <c r="F4" s="47">
        <v>10</v>
      </c>
      <c r="G4" s="270">
        <v>9</v>
      </c>
      <c r="H4" s="270">
        <v>3.75</v>
      </c>
      <c r="I4" s="270">
        <v>64</v>
      </c>
      <c r="J4" s="270">
        <v>195</v>
      </c>
      <c r="K4" s="46">
        <f t="shared" ref="K4" si="9">SUM(I4:J4)</f>
        <v>259</v>
      </c>
      <c r="L4" s="270">
        <v>70.2</v>
      </c>
      <c r="M4" s="47">
        <f t="shared" ref="M4" si="10">(I4+L4)</f>
        <v>134.19999999999999</v>
      </c>
      <c r="N4" s="280" t="s">
        <v>40</v>
      </c>
      <c r="O4" s="270">
        <v>134.19999999999999</v>
      </c>
      <c r="P4" s="268">
        <f t="shared" ref="P4" si="11">M4/O4</f>
        <v>1</v>
      </c>
      <c r="Q4" s="270">
        <v>67</v>
      </c>
      <c r="R4" s="270">
        <v>0</v>
      </c>
      <c r="S4" s="271">
        <v>1975323.9</v>
      </c>
      <c r="T4" s="50">
        <f t="shared" ref="T4" si="12">SUM(U4:V4)</f>
        <v>2154551.9</v>
      </c>
      <c r="U4" s="271">
        <v>1651731.9</v>
      </c>
      <c r="V4" s="271">
        <v>502820</v>
      </c>
      <c r="W4" s="269">
        <f t="shared" ref="W4" si="13">V4/T4</f>
        <v>0.23337567315041241</v>
      </c>
      <c r="X4" s="178"/>
      <c r="Y4" s="178"/>
      <c r="Z4" s="178"/>
      <c r="AA4" s="178"/>
      <c r="AB4" s="178"/>
      <c r="AC4" s="178"/>
      <c r="AD4" s="178"/>
      <c r="AE4" s="178"/>
      <c r="AF4" s="178"/>
      <c r="AG4" s="178"/>
      <c r="AH4" s="178"/>
      <c r="AI4" s="178"/>
      <c r="AJ4" s="178"/>
      <c r="AK4" s="178"/>
      <c r="AL4" s="178"/>
      <c r="AM4" s="178"/>
      <c r="AN4" s="178"/>
      <c r="AO4" s="178"/>
      <c r="AP4" s="178"/>
      <c r="AQ4" s="178"/>
    </row>
    <row r="5" spans="1:43">
      <c r="A5" s="267">
        <v>2020</v>
      </c>
      <c r="B5" s="270">
        <v>9</v>
      </c>
      <c r="C5" s="270">
        <v>3.75</v>
      </c>
      <c r="D5" s="46">
        <v>12.75</v>
      </c>
      <c r="E5" s="46">
        <v>15</v>
      </c>
      <c r="F5" s="47">
        <v>10</v>
      </c>
      <c r="G5" s="270">
        <v>9</v>
      </c>
      <c r="H5" s="270">
        <v>3.75</v>
      </c>
      <c r="I5" s="270">
        <v>69</v>
      </c>
      <c r="J5" s="270">
        <v>179</v>
      </c>
      <c r="K5" s="46">
        <v>248</v>
      </c>
      <c r="L5" s="270">
        <v>64.44</v>
      </c>
      <c r="M5" s="47">
        <v>133.44</v>
      </c>
      <c r="N5" s="280" t="s">
        <v>40</v>
      </c>
      <c r="O5" s="270">
        <v>133.44</v>
      </c>
      <c r="P5" s="268">
        <v>1</v>
      </c>
      <c r="Q5" s="270">
        <v>55</v>
      </c>
      <c r="R5" s="270">
        <v>0</v>
      </c>
      <c r="S5" s="271">
        <v>1865182</v>
      </c>
      <c r="T5" s="50">
        <v>2133620</v>
      </c>
      <c r="U5" s="271">
        <v>1619345</v>
      </c>
      <c r="V5" s="271">
        <v>514275</v>
      </c>
      <c r="W5" s="269">
        <v>0.24103401730392479</v>
      </c>
      <c r="X5" s="178"/>
      <c r="Y5" s="178"/>
      <c r="Z5" s="178"/>
      <c r="AA5" s="178"/>
      <c r="AB5" s="178"/>
      <c r="AC5" s="178"/>
      <c r="AD5" s="178"/>
      <c r="AE5" s="178"/>
      <c r="AF5" s="178"/>
      <c r="AG5" s="178"/>
      <c r="AH5" s="178"/>
      <c r="AI5" s="178"/>
      <c r="AJ5" s="178"/>
      <c r="AK5" s="178"/>
      <c r="AL5" s="178"/>
      <c r="AM5" s="178"/>
      <c r="AN5" s="178"/>
      <c r="AO5" s="178"/>
      <c r="AP5" s="178"/>
      <c r="AQ5" s="178"/>
    </row>
    <row r="6" spans="1:43">
      <c r="A6" s="267">
        <v>2019</v>
      </c>
      <c r="B6" s="270">
        <v>9</v>
      </c>
      <c r="C6" s="270">
        <v>4</v>
      </c>
      <c r="D6" s="46">
        <f>SUM(B6:C6)</f>
        <v>13</v>
      </c>
      <c r="E6" s="46">
        <f>ROUND((O6/B6), 0)</f>
        <v>14</v>
      </c>
      <c r="F6" s="47">
        <f>ROUND((O6/D6), 0)</f>
        <v>10</v>
      </c>
      <c r="G6" s="270">
        <v>9</v>
      </c>
      <c r="H6" s="270">
        <v>4</v>
      </c>
      <c r="I6" s="270">
        <v>67</v>
      </c>
      <c r="J6" s="270">
        <v>174</v>
      </c>
      <c r="K6" s="46">
        <f>SUM(I6:J6)</f>
        <v>241</v>
      </c>
      <c r="L6" s="270">
        <v>62.64</v>
      </c>
      <c r="M6" s="47">
        <f>(I6+L6)</f>
        <v>129.63999999999999</v>
      </c>
      <c r="N6" s="280" t="s">
        <v>40</v>
      </c>
      <c r="O6" s="270">
        <v>129.63999999999999</v>
      </c>
      <c r="P6" s="268">
        <f>M6/O6</f>
        <v>1</v>
      </c>
      <c r="Q6" s="270">
        <v>86</v>
      </c>
      <c r="R6" s="270">
        <v>0</v>
      </c>
      <c r="S6" s="271">
        <v>1721472</v>
      </c>
      <c r="T6" s="50">
        <f>SUM(U6:V6)</f>
        <v>2177028</v>
      </c>
      <c r="U6" s="271">
        <v>1652140</v>
      </c>
      <c r="V6" s="271">
        <v>524888</v>
      </c>
      <c r="W6" s="269">
        <f>V6/T6</f>
        <v>0.24110300832143639</v>
      </c>
      <c r="X6" s="178"/>
      <c r="Y6" s="178"/>
      <c r="Z6" s="178"/>
      <c r="AA6" s="178"/>
      <c r="AB6" s="178"/>
      <c r="AC6" s="178"/>
      <c r="AD6" s="178"/>
      <c r="AE6" s="178"/>
      <c r="AF6" s="178"/>
      <c r="AG6" s="178"/>
      <c r="AH6" s="178"/>
      <c r="AI6" s="178"/>
      <c r="AJ6" s="178"/>
      <c r="AK6" s="178"/>
      <c r="AL6" s="178"/>
      <c r="AM6" s="178"/>
      <c r="AN6" s="178"/>
      <c r="AO6" s="178"/>
      <c r="AP6" s="178"/>
      <c r="AQ6" s="178"/>
    </row>
    <row r="7" spans="1:43">
      <c r="A7" s="267">
        <v>2018</v>
      </c>
      <c r="B7" s="270">
        <v>9</v>
      </c>
      <c r="C7" s="270">
        <v>4.25</v>
      </c>
      <c r="D7" s="46">
        <f t="shared" ref="D7" si="14">SUM(B7:C7)</f>
        <v>13.25</v>
      </c>
      <c r="E7" s="47">
        <f t="shared" ref="E7" si="15">ROUND((O7/B7), 0)</f>
        <v>18</v>
      </c>
      <c r="F7" s="47">
        <f t="shared" ref="F7" si="16">ROUND((O7/D7), 0)</f>
        <v>13</v>
      </c>
      <c r="G7" s="270">
        <v>9</v>
      </c>
      <c r="H7" s="270">
        <v>4.25</v>
      </c>
      <c r="I7" s="270">
        <v>93</v>
      </c>
      <c r="J7" s="270">
        <v>175</v>
      </c>
      <c r="K7" s="46">
        <f t="shared" ref="K7" si="17">SUM(I7:J7)</f>
        <v>268</v>
      </c>
      <c r="L7" s="270">
        <v>57.75</v>
      </c>
      <c r="M7" s="47">
        <f>(I7+L7)</f>
        <v>150.75</v>
      </c>
      <c r="N7" s="280" t="s">
        <v>40</v>
      </c>
      <c r="O7" s="270">
        <v>165.96</v>
      </c>
      <c r="P7" s="268">
        <f t="shared" ref="P7" si="18">M7/O7</f>
        <v>0.90835140997830799</v>
      </c>
      <c r="Q7" s="270">
        <v>62</v>
      </c>
      <c r="R7" s="270">
        <v>0</v>
      </c>
      <c r="S7" s="271">
        <v>1759534</v>
      </c>
      <c r="T7" s="50">
        <f t="shared" ref="T7" si="19">SUM(U7:V7)</f>
        <v>2248896</v>
      </c>
      <c r="U7" s="271">
        <v>1727580</v>
      </c>
      <c r="V7" s="271">
        <v>521316</v>
      </c>
      <c r="W7" s="269">
        <f t="shared" ref="W7" si="20">V7/T7</f>
        <v>0.23180974131307094</v>
      </c>
      <c r="X7" s="178"/>
      <c r="Y7" s="178"/>
      <c r="Z7" s="178"/>
      <c r="AA7" s="178"/>
      <c r="AB7" s="178"/>
      <c r="AC7" s="178"/>
      <c r="AD7" s="178"/>
      <c r="AE7" s="178"/>
      <c r="AF7" s="178"/>
      <c r="AG7" s="178"/>
      <c r="AH7" s="178"/>
      <c r="AI7" s="178"/>
      <c r="AJ7" s="178"/>
      <c r="AK7" s="178"/>
      <c r="AL7" s="178"/>
      <c r="AM7" s="178"/>
      <c r="AN7" s="178"/>
      <c r="AO7" s="178"/>
      <c r="AP7" s="178"/>
      <c r="AQ7" s="178"/>
    </row>
    <row r="8" spans="1:43">
      <c r="A8" s="267">
        <v>2017</v>
      </c>
      <c r="B8" s="270">
        <v>8</v>
      </c>
      <c r="C8" s="270">
        <v>4.5</v>
      </c>
      <c r="D8" s="46">
        <f t="shared" ref="D8:D9" si="21">SUM(B8:C8)</f>
        <v>12.5</v>
      </c>
      <c r="E8" s="47">
        <f t="shared" ref="E8:E23" si="22">ROUND((O8/B8), 0)</f>
        <v>21</v>
      </c>
      <c r="F8" s="47">
        <f t="shared" ref="F8:F23" si="23">ROUND((O8/D8), 0)</f>
        <v>14</v>
      </c>
      <c r="G8" s="270">
        <v>8</v>
      </c>
      <c r="H8" s="270">
        <v>4.5</v>
      </c>
      <c r="I8" s="270">
        <v>107</v>
      </c>
      <c r="J8" s="270">
        <v>173</v>
      </c>
      <c r="K8" s="46">
        <f t="shared" ref="K8:K9" si="24">SUM(I8:J8)</f>
        <v>280</v>
      </c>
      <c r="L8" s="270">
        <f>173*0.36</f>
        <v>62.28</v>
      </c>
      <c r="M8" s="47">
        <f t="shared" ref="M8:M13" si="25">I8+L8</f>
        <v>169.28</v>
      </c>
      <c r="N8" s="37" t="s">
        <v>40</v>
      </c>
      <c r="O8" s="270">
        <v>169.28</v>
      </c>
      <c r="P8" s="268">
        <f t="shared" ref="P8:P23" si="26">M8/O8</f>
        <v>1</v>
      </c>
      <c r="Q8" s="270">
        <v>71</v>
      </c>
      <c r="R8" s="270">
        <v>0</v>
      </c>
      <c r="S8" s="271">
        <v>2362048</v>
      </c>
      <c r="T8" s="50">
        <f t="shared" ref="T8:T9" si="27">SUM(U8:V8)</f>
        <v>2724930</v>
      </c>
      <c r="U8" s="271">
        <v>2218246</v>
      </c>
      <c r="V8" s="271">
        <v>506684</v>
      </c>
      <c r="W8" s="269">
        <f t="shared" ref="W8:W23" si="28">V8/T8</f>
        <v>0.18594385910830738</v>
      </c>
      <c r="X8" s="178"/>
      <c r="Y8" s="178"/>
      <c r="Z8" s="178"/>
      <c r="AA8" s="178"/>
      <c r="AB8" s="178"/>
      <c r="AC8" s="178"/>
      <c r="AD8" s="178"/>
      <c r="AE8" s="178"/>
      <c r="AF8" s="178"/>
      <c r="AG8" s="178"/>
      <c r="AH8" s="178"/>
      <c r="AI8" s="178"/>
      <c r="AJ8" s="178"/>
      <c r="AK8" s="178"/>
      <c r="AL8" s="178"/>
      <c r="AM8" s="178"/>
      <c r="AN8" s="178"/>
      <c r="AO8" s="178"/>
      <c r="AP8" s="178"/>
      <c r="AQ8" s="178"/>
    </row>
    <row r="9" spans="1:43">
      <c r="A9" s="267">
        <v>2016</v>
      </c>
      <c r="B9" s="270">
        <v>8</v>
      </c>
      <c r="C9" s="270">
        <v>4.5</v>
      </c>
      <c r="D9" s="46">
        <f t="shared" si="21"/>
        <v>12.5</v>
      </c>
      <c r="E9" s="47">
        <f t="shared" si="22"/>
        <v>18</v>
      </c>
      <c r="F9" s="47">
        <f t="shared" si="23"/>
        <v>11</v>
      </c>
      <c r="G9" s="270">
        <v>7</v>
      </c>
      <c r="H9" s="270">
        <v>4.5</v>
      </c>
      <c r="I9" s="270">
        <v>88</v>
      </c>
      <c r="J9" s="270">
        <v>146</v>
      </c>
      <c r="K9" s="46">
        <f t="shared" si="24"/>
        <v>234</v>
      </c>
      <c r="L9" s="270">
        <f>146*0.36</f>
        <v>52.559999999999995</v>
      </c>
      <c r="M9" s="47">
        <f t="shared" si="25"/>
        <v>140.56</v>
      </c>
      <c r="N9" s="37" t="s">
        <v>40</v>
      </c>
      <c r="O9" s="270">
        <v>140.56</v>
      </c>
      <c r="P9" s="268">
        <f t="shared" si="26"/>
        <v>1</v>
      </c>
      <c r="Q9" s="270">
        <v>78</v>
      </c>
      <c r="R9" s="270">
        <v>0</v>
      </c>
      <c r="S9" s="271">
        <v>1910075</v>
      </c>
      <c r="T9" s="50">
        <f t="shared" si="27"/>
        <v>2155909</v>
      </c>
      <c r="U9" s="271">
        <v>1808756</v>
      </c>
      <c r="V9" s="271">
        <v>347153</v>
      </c>
      <c r="W9" s="269">
        <f t="shared" si="28"/>
        <v>0.16102395787577306</v>
      </c>
      <c r="X9" s="178"/>
      <c r="Y9" s="178"/>
      <c r="Z9" s="178"/>
      <c r="AA9" s="178"/>
      <c r="AB9" s="178"/>
      <c r="AC9" s="178"/>
      <c r="AD9" s="178"/>
      <c r="AE9" s="178"/>
      <c r="AF9" s="178"/>
      <c r="AG9" s="178"/>
      <c r="AH9" s="178"/>
      <c r="AI9" s="178"/>
      <c r="AJ9" s="178"/>
      <c r="AK9" s="178"/>
      <c r="AL9" s="178"/>
      <c r="AM9" s="178"/>
      <c r="AN9" s="178"/>
      <c r="AO9" s="178"/>
      <c r="AP9" s="178"/>
      <c r="AQ9" s="178"/>
    </row>
    <row r="10" spans="1:43">
      <c r="A10" s="272">
        <v>2015</v>
      </c>
      <c r="B10" s="45">
        <v>8</v>
      </c>
      <c r="C10" s="45">
        <v>3.75</v>
      </c>
      <c r="D10" s="46">
        <v>11.75</v>
      </c>
      <c r="E10" s="47">
        <f t="shared" si="22"/>
        <v>24</v>
      </c>
      <c r="F10" s="47">
        <f t="shared" si="23"/>
        <v>17</v>
      </c>
      <c r="G10" s="46"/>
      <c r="H10" s="46"/>
      <c r="I10" s="45">
        <v>84</v>
      </c>
      <c r="J10" s="45">
        <v>183</v>
      </c>
      <c r="K10" s="46">
        <v>267</v>
      </c>
      <c r="L10" s="45">
        <v>110</v>
      </c>
      <c r="M10" s="46">
        <f t="shared" si="25"/>
        <v>194</v>
      </c>
      <c r="N10" s="37" t="s">
        <v>40</v>
      </c>
      <c r="O10" s="45">
        <v>194</v>
      </c>
      <c r="P10" s="268">
        <f t="shared" si="26"/>
        <v>1</v>
      </c>
      <c r="Q10" s="45">
        <v>32</v>
      </c>
      <c r="R10" s="45">
        <v>0</v>
      </c>
      <c r="S10" s="53">
        <v>2020676</v>
      </c>
      <c r="T10" s="50">
        <v>1968767</v>
      </c>
      <c r="U10" s="53">
        <v>1636432</v>
      </c>
      <c r="V10" s="53">
        <v>332335</v>
      </c>
      <c r="W10" s="269">
        <f t="shared" si="28"/>
        <v>0.16880362175920258</v>
      </c>
    </row>
    <row r="11" spans="1:43">
      <c r="A11" s="272">
        <v>2014</v>
      </c>
      <c r="B11" s="45">
        <v>8</v>
      </c>
      <c r="C11" s="45">
        <v>2.25</v>
      </c>
      <c r="D11" s="46">
        <f t="shared" ref="D11:D23" si="29">SUM(B11:C11)</f>
        <v>10.25</v>
      </c>
      <c r="E11" s="47">
        <f t="shared" si="22"/>
        <v>21</v>
      </c>
      <c r="F11" s="47">
        <f t="shared" si="23"/>
        <v>16</v>
      </c>
      <c r="G11" s="273"/>
      <c r="H11" s="273"/>
      <c r="I11" s="45">
        <v>96</v>
      </c>
      <c r="J11" s="45">
        <v>100</v>
      </c>
      <c r="K11" s="46">
        <f t="shared" ref="K11:K23" si="30">SUM(I11:J11)</f>
        <v>196</v>
      </c>
      <c r="L11" s="45">
        <v>67</v>
      </c>
      <c r="M11" s="47">
        <f t="shared" si="25"/>
        <v>163</v>
      </c>
      <c r="N11" s="37" t="s">
        <v>40</v>
      </c>
      <c r="O11" s="51">
        <v>165</v>
      </c>
      <c r="P11" s="268">
        <f t="shared" si="26"/>
        <v>0.98787878787878791</v>
      </c>
      <c r="Q11" s="45">
        <v>44</v>
      </c>
      <c r="R11" s="45">
        <v>0</v>
      </c>
      <c r="S11" s="49">
        <v>2242728</v>
      </c>
      <c r="T11" s="50">
        <f t="shared" ref="T11:T23" si="31">SUM(U11:V11)</f>
        <v>2245372</v>
      </c>
      <c r="U11" s="49">
        <v>2010523</v>
      </c>
      <c r="V11" s="49">
        <v>234849</v>
      </c>
      <c r="W11" s="269">
        <f t="shared" si="28"/>
        <v>0.10459246841948684</v>
      </c>
    </row>
    <row r="12" spans="1:43">
      <c r="A12" s="272">
        <v>2013</v>
      </c>
      <c r="B12" s="45">
        <v>8</v>
      </c>
      <c r="C12" s="45">
        <v>2</v>
      </c>
      <c r="D12" s="46">
        <f t="shared" si="29"/>
        <v>10</v>
      </c>
      <c r="E12" s="47">
        <f t="shared" si="22"/>
        <v>16</v>
      </c>
      <c r="F12" s="47">
        <f t="shared" si="23"/>
        <v>13</v>
      </c>
      <c r="G12" s="47"/>
      <c r="H12" s="47"/>
      <c r="I12" s="45">
        <v>87</v>
      </c>
      <c r="J12" s="45">
        <v>59</v>
      </c>
      <c r="K12" s="46">
        <f t="shared" si="30"/>
        <v>146</v>
      </c>
      <c r="L12" s="45">
        <v>40</v>
      </c>
      <c r="M12" s="47">
        <f t="shared" si="25"/>
        <v>127</v>
      </c>
      <c r="N12" s="37" t="s">
        <v>40</v>
      </c>
      <c r="O12" s="51">
        <v>127</v>
      </c>
      <c r="P12" s="268">
        <f t="shared" si="26"/>
        <v>1</v>
      </c>
      <c r="Q12" s="45">
        <v>55</v>
      </c>
      <c r="R12" s="45">
        <v>0</v>
      </c>
      <c r="S12" s="49">
        <v>2153710</v>
      </c>
      <c r="T12" s="50">
        <f t="shared" si="31"/>
        <v>2157141</v>
      </c>
      <c r="U12" s="49">
        <v>1984141</v>
      </c>
      <c r="V12" s="49">
        <v>173000</v>
      </c>
      <c r="W12" s="269">
        <f t="shared" si="28"/>
        <v>8.0198744541965503E-2</v>
      </c>
    </row>
    <row r="13" spans="1:43">
      <c r="A13" s="272" t="s">
        <v>25</v>
      </c>
      <c r="B13" s="45">
        <v>8</v>
      </c>
      <c r="C13" s="45">
        <v>2</v>
      </c>
      <c r="D13" s="46">
        <f t="shared" si="29"/>
        <v>10</v>
      </c>
      <c r="E13" s="47">
        <f t="shared" si="22"/>
        <v>26</v>
      </c>
      <c r="F13" s="47">
        <f t="shared" si="23"/>
        <v>21</v>
      </c>
      <c r="G13" s="47"/>
      <c r="H13" s="47"/>
      <c r="I13" s="45">
        <v>111</v>
      </c>
      <c r="J13" s="45">
        <v>25</v>
      </c>
      <c r="K13" s="46">
        <f t="shared" si="30"/>
        <v>136</v>
      </c>
      <c r="L13" s="45">
        <v>25</v>
      </c>
      <c r="M13" s="47">
        <f t="shared" si="25"/>
        <v>136</v>
      </c>
      <c r="N13" s="37" t="s">
        <v>40</v>
      </c>
      <c r="O13" s="51">
        <v>207.32999999999998</v>
      </c>
      <c r="P13" s="268">
        <f t="shared" si="26"/>
        <v>0.65595909902088467</v>
      </c>
      <c r="Q13" s="45">
        <v>45</v>
      </c>
      <c r="R13" s="45">
        <v>0</v>
      </c>
      <c r="S13" s="49">
        <v>1944719</v>
      </c>
      <c r="T13" s="50">
        <f t="shared" si="31"/>
        <v>1665154</v>
      </c>
      <c r="U13" s="49">
        <v>1490963</v>
      </c>
      <c r="V13" s="49">
        <v>174191</v>
      </c>
      <c r="W13" s="269">
        <f t="shared" si="28"/>
        <v>0.10460954362179113</v>
      </c>
    </row>
    <row r="14" spans="1:43">
      <c r="A14" s="272" t="s">
        <v>26</v>
      </c>
      <c r="B14" s="45">
        <v>7</v>
      </c>
      <c r="C14" s="45">
        <v>2.25</v>
      </c>
      <c r="D14" s="46">
        <f t="shared" si="29"/>
        <v>9.25</v>
      </c>
      <c r="E14" s="47">
        <f t="shared" si="22"/>
        <v>15</v>
      </c>
      <c r="F14" s="47">
        <f t="shared" si="23"/>
        <v>11</v>
      </c>
      <c r="G14" s="47"/>
      <c r="H14" s="47"/>
      <c r="I14" s="45">
        <v>71</v>
      </c>
      <c r="J14" s="45">
        <v>33</v>
      </c>
      <c r="K14" s="46">
        <f t="shared" si="30"/>
        <v>104</v>
      </c>
      <c r="L14" s="45">
        <v>18.329999999999998</v>
      </c>
      <c r="M14" s="47">
        <f t="shared" ref="M14:M23" si="32">(I14+L14)</f>
        <v>89.33</v>
      </c>
      <c r="N14" s="37" t="s">
        <v>40</v>
      </c>
      <c r="O14" s="51">
        <v>102.33</v>
      </c>
      <c r="P14" s="268">
        <f t="shared" si="26"/>
        <v>0.87296003127137689</v>
      </c>
      <c r="Q14" s="45">
        <v>30</v>
      </c>
      <c r="R14" s="45">
        <v>2</v>
      </c>
      <c r="S14" s="49">
        <v>1805414</v>
      </c>
      <c r="T14" s="50">
        <f t="shared" si="31"/>
        <v>1924567</v>
      </c>
      <c r="U14" s="49">
        <v>1582242</v>
      </c>
      <c r="V14" s="49">
        <v>342325</v>
      </c>
      <c r="W14" s="269">
        <f t="shared" si="28"/>
        <v>0.17787117829620896</v>
      </c>
    </row>
    <row r="15" spans="1:43">
      <c r="A15" s="272" t="s">
        <v>27</v>
      </c>
      <c r="B15" s="45">
        <v>8</v>
      </c>
      <c r="C15" s="45">
        <v>1.2</v>
      </c>
      <c r="D15" s="46">
        <f t="shared" si="29"/>
        <v>9.1999999999999993</v>
      </c>
      <c r="E15" s="47">
        <f t="shared" si="22"/>
        <v>12</v>
      </c>
      <c r="F15" s="47">
        <f t="shared" si="23"/>
        <v>10</v>
      </c>
      <c r="G15" s="47"/>
      <c r="H15" s="47"/>
      <c r="I15" s="45">
        <v>77</v>
      </c>
      <c r="J15" s="45">
        <v>23</v>
      </c>
      <c r="K15" s="46">
        <f t="shared" si="30"/>
        <v>100</v>
      </c>
      <c r="L15" s="45">
        <v>8.33</v>
      </c>
      <c r="M15" s="47">
        <f t="shared" si="32"/>
        <v>85.33</v>
      </c>
      <c r="N15" s="37" t="s">
        <v>40</v>
      </c>
      <c r="O15" s="51">
        <v>93.66</v>
      </c>
      <c r="P15" s="268">
        <f t="shared" si="26"/>
        <v>0.91106128550074739</v>
      </c>
      <c r="Q15" s="45">
        <v>36</v>
      </c>
      <c r="R15" s="45">
        <v>0</v>
      </c>
      <c r="S15" s="49">
        <v>1861105.54</v>
      </c>
      <c r="T15" s="50">
        <f t="shared" si="31"/>
        <v>1853646</v>
      </c>
      <c r="U15" s="49">
        <v>1494015</v>
      </c>
      <c r="V15" s="49">
        <v>359631</v>
      </c>
      <c r="W15" s="269">
        <f t="shared" si="28"/>
        <v>0.19401277266533093</v>
      </c>
    </row>
    <row r="16" spans="1:43">
      <c r="A16" s="272" t="s">
        <v>28</v>
      </c>
      <c r="B16" s="45">
        <v>8</v>
      </c>
      <c r="C16" s="45">
        <v>1.5</v>
      </c>
      <c r="D16" s="46">
        <f t="shared" si="29"/>
        <v>9.5</v>
      </c>
      <c r="E16" s="47">
        <f t="shared" si="22"/>
        <v>13</v>
      </c>
      <c r="F16" s="47">
        <f t="shared" si="23"/>
        <v>11</v>
      </c>
      <c r="G16" s="47"/>
      <c r="H16" s="47"/>
      <c r="I16" s="45">
        <v>77</v>
      </c>
      <c r="J16" s="45">
        <v>24</v>
      </c>
      <c r="K16" s="46">
        <f t="shared" si="30"/>
        <v>101</v>
      </c>
      <c r="L16" s="45">
        <v>13.44</v>
      </c>
      <c r="M16" s="47">
        <f t="shared" si="32"/>
        <v>90.44</v>
      </c>
      <c r="N16" s="37" t="s">
        <v>40</v>
      </c>
      <c r="O16" s="51">
        <v>102.78</v>
      </c>
      <c r="P16" s="268">
        <f t="shared" si="26"/>
        <v>0.87993773107608486</v>
      </c>
      <c r="Q16" s="45">
        <v>36</v>
      </c>
      <c r="R16" s="45">
        <v>2</v>
      </c>
      <c r="S16" s="49">
        <v>1686133.1</v>
      </c>
      <c r="T16" s="50">
        <f t="shared" si="31"/>
        <v>1688366</v>
      </c>
      <c r="U16" s="49">
        <v>1528087</v>
      </c>
      <c r="V16" s="49">
        <v>160279</v>
      </c>
      <c r="W16" s="269">
        <f t="shared" si="28"/>
        <v>9.4931430744281745E-2</v>
      </c>
    </row>
    <row r="17" spans="1:23">
      <c r="A17" s="272" t="s">
        <v>29</v>
      </c>
      <c r="B17" s="45">
        <v>9</v>
      </c>
      <c r="C17" s="45">
        <v>1.25</v>
      </c>
      <c r="D17" s="46">
        <f t="shared" si="29"/>
        <v>10.25</v>
      </c>
      <c r="E17" s="47">
        <f t="shared" si="22"/>
        <v>9</v>
      </c>
      <c r="F17" s="47">
        <f t="shared" si="23"/>
        <v>8</v>
      </c>
      <c r="G17" s="47"/>
      <c r="H17" s="47"/>
      <c r="I17" s="45">
        <v>68</v>
      </c>
      <c r="J17" s="45">
        <v>22</v>
      </c>
      <c r="K17" s="46">
        <f t="shared" si="30"/>
        <v>90</v>
      </c>
      <c r="L17" s="45">
        <v>10.89</v>
      </c>
      <c r="M17" s="47">
        <f t="shared" si="32"/>
        <v>78.89</v>
      </c>
      <c r="N17" s="37" t="s">
        <v>40</v>
      </c>
      <c r="O17" s="45">
        <v>83</v>
      </c>
      <c r="P17" s="268">
        <f t="shared" si="26"/>
        <v>0.95048192771084339</v>
      </c>
      <c r="Q17" s="45">
        <v>43</v>
      </c>
      <c r="R17" s="45">
        <v>0</v>
      </c>
      <c r="S17" s="49">
        <v>1543729</v>
      </c>
      <c r="T17" s="50">
        <f t="shared" si="31"/>
        <v>1543729</v>
      </c>
      <c r="U17" s="49">
        <v>1274989</v>
      </c>
      <c r="V17" s="49">
        <v>268740</v>
      </c>
      <c r="W17" s="269">
        <f t="shared" si="28"/>
        <v>0.17408495921240061</v>
      </c>
    </row>
    <row r="18" spans="1:23">
      <c r="A18" s="272">
        <v>2007</v>
      </c>
      <c r="B18" s="45">
        <v>8</v>
      </c>
      <c r="C18" s="45">
        <v>1.25</v>
      </c>
      <c r="D18" s="46">
        <f t="shared" si="29"/>
        <v>9.25</v>
      </c>
      <c r="E18" s="47">
        <f t="shared" si="22"/>
        <v>11</v>
      </c>
      <c r="F18" s="47">
        <f t="shared" si="23"/>
        <v>9</v>
      </c>
      <c r="G18" s="47"/>
      <c r="H18" s="47"/>
      <c r="I18" s="45">
        <v>75</v>
      </c>
      <c r="J18" s="45">
        <v>23</v>
      </c>
      <c r="K18" s="46">
        <f t="shared" si="30"/>
        <v>98</v>
      </c>
      <c r="L18" s="45">
        <v>11.55</v>
      </c>
      <c r="M18" s="47">
        <f t="shared" si="32"/>
        <v>86.55</v>
      </c>
      <c r="N18" s="37" t="s">
        <v>40</v>
      </c>
      <c r="O18" s="45">
        <v>87</v>
      </c>
      <c r="P18" s="268">
        <f t="shared" si="26"/>
        <v>0.99482758620689649</v>
      </c>
      <c r="Q18" s="45">
        <v>37</v>
      </c>
      <c r="R18" s="45">
        <v>0</v>
      </c>
      <c r="S18" s="53">
        <v>1494648</v>
      </c>
      <c r="T18" s="50">
        <f t="shared" si="31"/>
        <v>1494648</v>
      </c>
      <c r="U18" s="53">
        <v>1210607</v>
      </c>
      <c r="V18" s="53">
        <v>284041</v>
      </c>
      <c r="W18" s="269">
        <f t="shared" si="28"/>
        <v>0.19003872483688466</v>
      </c>
    </row>
    <row r="19" spans="1:23">
      <c r="A19" s="272">
        <v>2006</v>
      </c>
      <c r="B19" s="45">
        <v>8</v>
      </c>
      <c r="C19" s="45">
        <v>1.5</v>
      </c>
      <c r="D19" s="46">
        <f t="shared" si="29"/>
        <v>9.5</v>
      </c>
      <c r="E19" s="47">
        <f t="shared" si="22"/>
        <v>10</v>
      </c>
      <c r="F19" s="47">
        <f t="shared" si="23"/>
        <v>9</v>
      </c>
      <c r="G19" s="47"/>
      <c r="H19" s="47"/>
      <c r="I19" s="45">
        <v>65</v>
      </c>
      <c r="J19" s="45">
        <v>22</v>
      </c>
      <c r="K19" s="46">
        <f t="shared" si="30"/>
        <v>87</v>
      </c>
      <c r="L19" s="45">
        <v>13</v>
      </c>
      <c r="M19" s="47">
        <f t="shared" si="32"/>
        <v>78</v>
      </c>
      <c r="N19" s="37" t="s">
        <v>40</v>
      </c>
      <c r="O19" s="45">
        <v>82</v>
      </c>
      <c r="P19" s="268">
        <f t="shared" si="26"/>
        <v>0.95121951219512191</v>
      </c>
      <c r="Q19" s="45">
        <v>23</v>
      </c>
      <c r="R19" s="45">
        <v>0</v>
      </c>
      <c r="S19" s="53">
        <v>1531150</v>
      </c>
      <c r="T19" s="50">
        <f t="shared" si="31"/>
        <v>1523197</v>
      </c>
      <c r="U19" s="53">
        <v>1292889</v>
      </c>
      <c r="V19" s="53">
        <v>230308</v>
      </c>
      <c r="W19" s="269">
        <f t="shared" si="28"/>
        <v>0.15120040283692784</v>
      </c>
    </row>
    <row r="20" spans="1:23">
      <c r="A20" s="272">
        <v>2005</v>
      </c>
      <c r="B20" s="45">
        <v>9</v>
      </c>
      <c r="C20" s="45">
        <v>2</v>
      </c>
      <c r="D20" s="46">
        <f t="shared" si="29"/>
        <v>11</v>
      </c>
      <c r="E20" s="47">
        <f t="shared" si="22"/>
        <v>7</v>
      </c>
      <c r="F20" s="47">
        <f t="shared" si="23"/>
        <v>6</v>
      </c>
      <c r="G20" s="47"/>
      <c r="H20" s="47"/>
      <c r="I20" s="45">
        <v>58</v>
      </c>
      <c r="J20" s="45">
        <v>23</v>
      </c>
      <c r="K20" s="46">
        <f t="shared" si="30"/>
        <v>81</v>
      </c>
      <c r="L20" s="45">
        <v>12</v>
      </c>
      <c r="M20" s="47">
        <f t="shared" si="32"/>
        <v>70</v>
      </c>
      <c r="N20" s="37" t="s">
        <v>40</v>
      </c>
      <c r="O20" s="45">
        <v>61</v>
      </c>
      <c r="P20" s="268">
        <f t="shared" si="26"/>
        <v>1.1475409836065573</v>
      </c>
      <c r="Q20" s="45">
        <v>27</v>
      </c>
      <c r="R20" s="45">
        <v>0</v>
      </c>
      <c r="S20" s="53">
        <v>1312214</v>
      </c>
      <c r="T20" s="50">
        <f t="shared" si="31"/>
        <v>1312214</v>
      </c>
      <c r="U20" s="53">
        <v>1072019</v>
      </c>
      <c r="V20" s="53">
        <v>240195</v>
      </c>
      <c r="W20" s="269">
        <f t="shared" si="28"/>
        <v>0.18304560079377297</v>
      </c>
    </row>
    <row r="21" spans="1:23">
      <c r="A21" s="272">
        <v>2004</v>
      </c>
      <c r="B21" s="45">
        <v>8</v>
      </c>
      <c r="C21" s="45">
        <v>0.5</v>
      </c>
      <c r="D21" s="46">
        <f t="shared" si="29"/>
        <v>8.5</v>
      </c>
      <c r="E21" s="47">
        <f t="shared" si="22"/>
        <v>9</v>
      </c>
      <c r="F21" s="47">
        <f t="shared" si="23"/>
        <v>8</v>
      </c>
      <c r="G21" s="47"/>
      <c r="H21" s="47"/>
      <c r="I21" s="45">
        <v>56</v>
      </c>
      <c r="J21" s="45">
        <v>28</v>
      </c>
      <c r="K21" s="46">
        <f t="shared" si="30"/>
        <v>84</v>
      </c>
      <c r="L21" s="45">
        <v>14</v>
      </c>
      <c r="M21" s="47">
        <f t="shared" si="32"/>
        <v>70</v>
      </c>
      <c r="N21" s="37" t="s">
        <v>40</v>
      </c>
      <c r="O21" s="45">
        <v>70</v>
      </c>
      <c r="P21" s="268">
        <f t="shared" si="26"/>
        <v>1</v>
      </c>
      <c r="Q21" s="45">
        <v>37</v>
      </c>
      <c r="R21" s="45">
        <v>0</v>
      </c>
      <c r="S21" s="53">
        <v>1133177</v>
      </c>
      <c r="T21" s="50">
        <f t="shared" si="31"/>
        <v>1133177</v>
      </c>
      <c r="U21" s="53">
        <v>941485</v>
      </c>
      <c r="V21" s="53">
        <v>191692</v>
      </c>
      <c r="W21" s="269">
        <f t="shared" si="28"/>
        <v>0.16916333458938895</v>
      </c>
    </row>
    <row r="22" spans="1:23">
      <c r="A22" s="272">
        <v>2003</v>
      </c>
      <c r="B22" s="45">
        <v>7</v>
      </c>
      <c r="C22" s="45">
        <v>2</v>
      </c>
      <c r="D22" s="46">
        <f t="shared" si="29"/>
        <v>9</v>
      </c>
      <c r="E22" s="47">
        <f t="shared" si="22"/>
        <v>11</v>
      </c>
      <c r="F22" s="47">
        <f t="shared" si="23"/>
        <v>8</v>
      </c>
      <c r="G22" s="47"/>
      <c r="H22" s="47"/>
      <c r="I22" s="45">
        <v>62</v>
      </c>
      <c r="J22" s="45">
        <v>25</v>
      </c>
      <c r="K22" s="46">
        <f t="shared" si="30"/>
        <v>87</v>
      </c>
      <c r="L22" s="45">
        <v>12</v>
      </c>
      <c r="M22" s="47">
        <f t="shared" si="32"/>
        <v>74</v>
      </c>
      <c r="N22" s="37" t="s">
        <v>40</v>
      </c>
      <c r="O22" s="45">
        <v>74</v>
      </c>
      <c r="P22" s="268">
        <f t="shared" si="26"/>
        <v>1</v>
      </c>
      <c r="Q22" s="45">
        <v>40</v>
      </c>
      <c r="R22" s="45">
        <v>0</v>
      </c>
      <c r="S22" s="53">
        <v>1096210</v>
      </c>
      <c r="T22" s="50">
        <f t="shared" si="31"/>
        <v>1096210</v>
      </c>
      <c r="U22" s="53">
        <v>911165</v>
      </c>
      <c r="V22" s="53">
        <v>185045</v>
      </c>
      <c r="W22" s="269">
        <f t="shared" si="28"/>
        <v>0.16880433493582434</v>
      </c>
    </row>
    <row r="23" spans="1:23">
      <c r="A23" s="286">
        <v>2002</v>
      </c>
      <c r="B23" s="287">
        <v>8</v>
      </c>
      <c r="C23" s="287">
        <v>1.25</v>
      </c>
      <c r="D23" s="288">
        <f t="shared" si="29"/>
        <v>9.25</v>
      </c>
      <c r="E23" s="289">
        <f t="shared" si="22"/>
        <v>12</v>
      </c>
      <c r="F23" s="289">
        <f t="shared" si="23"/>
        <v>10</v>
      </c>
      <c r="G23" s="289"/>
      <c r="H23" s="289"/>
      <c r="I23" s="287">
        <v>76</v>
      </c>
      <c r="J23" s="287">
        <v>22</v>
      </c>
      <c r="K23" s="288">
        <f t="shared" si="30"/>
        <v>98</v>
      </c>
      <c r="L23" s="287">
        <f>ROUND(11.88, 0)</f>
        <v>12</v>
      </c>
      <c r="M23" s="289">
        <f t="shared" si="32"/>
        <v>88</v>
      </c>
      <c r="N23" s="290" t="s">
        <v>40</v>
      </c>
      <c r="O23" s="287">
        <v>94</v>
      </c>
      <c r="P23" s="291">
        <f t="shared" si="26"/>
        <v>0.93617021276595747</v>
      </c>
      <c r="Q23" s="287">
        <v>22</v>
      </c>
      <c r="R23" s="287">
        <v>0</v>
      </c>
      <c r="S23" s="292">
        <v>1076564</v>
      </c>
      <c r="T23" s="293">
        <f t="shared" si="31"/>
        <v>1076564</v>
      </c>
      <c r="U23" s="292">
        <v>888535</v>
      </c>
      <c r="V23" s="292">
        <v>188029</v>
      </c>
      <c r="W23" s="294">
        <f t="shared" si="28"/>
        <v>0.17465659264103203</v>
      </c>
    </row>
    <row r="24" spans="1:23" ht="15.75" customHeight="1">
      <c r="A24" s="576" t="s">
        <v>41</v>
      </c>
      <c r="B24" s="576"/>
      <c r="C24" s="576"/>
      <c r="D24" s="576"/>
      <c r="E24" s="576"/>
      <c r="F24" s="576"/>
      <c r="G24" s="576"/>
      <c r="H24" s="576"/>
      <c r="I24" s="576"/>
      <c r="J24" s="576"/>
      <c r="K24" s="576"/>
      <c r="L24" s="576"/>
      <c r="M24" s="576"/>
      <c r="N24" s="576"/>
      <c r="O24" s="576"/>
      <c r="P24" s="576"/>
      <c r="Q24" s="576"/>
      <c r="R24" s="576"/>
      <c r="S24" s="576"/>
      <c r="T24" s="576"/>
      <c r="U24" s="576"/>
      <c r="V24" s="576"/>
      <c r="W24" s="576"/>
    </row>
    <row r="25" spans="1:23" ht="15.75" customHeight="1"/>
    <row r="26" spans="1:23" ht="15.75" customHeight="1"/>
    <row r="27" spans="1:23" ht="15.75" customHeight="1"/>
    <row r="28" spans="1:23" ht="15.75" customHeight="1"/>
    <row r="29" spans="1:23" ht="15.75" customHeight="1"/>
    <row r="30" spans="1:23" ht="15.75" customHeight="1"/>
    <row r="31" spans="1:23" ht="15.75" customHeight="1"/>
    <row r="32" spans="1:2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1">
    <mergeCell ref="A24:W24"/>
  </mergeCells>
  <printOptions headings="1" gridLines="1"/>
  <pageMargins left="0.7" right="0.7" top="0.75" bottom="0.75" header="0.3" footer="0.3"/>
  <pageSetup paperSize="5" scale="67" fitToHeight="0" orientation="landscape" horizontalDpi="1200" verticalDpi="1200"/>
  <legacyDrawing r:id="rId1"/>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HL35"/>
  <sheetViews>
    <sheetView zoomScaleNormal="100" workbookViewId="0">
      <selection activeCell="A25" sqref="A25:W25"/>
    </sheetView>
  </sheetViews>
  <sheetFormatPr defaultColWidth="8.85546875" defaultRowHeight="15"/>
  <cols>
    <col min="1" max="1" width="10.710937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1.42578125" bestFit="1" customWidth="1"/>
    <col min="22" max="22" width="10.85546875" bestFit="1" customWidth="1"/>
    <col min="23" max="23" width="12.85546875" bestFit="1" customWidth="1"/>
  </cols>
  <sheetData>
    <row r="1" spans="1:220" s="7" customFormat="1" ht="18.75">
      <c r="A1" s="1" t="s">
        <v>163</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c r="A3" s="105">
        <v>2022</v>
      </c>
      <c r="B3" s="54">
        <v>68</v>
      </c>
      <c r="C3" s="54">
        <v>39</v>
      </c>
      <c r="D3" s="23">
        <f t="shared" ref="D3" si="0">SUM(B3:C3)</f>
        <v>107</v>
      </c>
      <c r="E3" s="82">
        <f>ROUND((O3/B3), 0)</f>
        <v>24</v>
      </c>
      <c r="F3" s="82">
        <f t="shared" ref="F3" si="1">ROUND((O3/D3), 0)</f>
        <v>15</v>
      </c>
      <c r="G3" s="54">
        <v>12</v>
      </c>
      <c r="H3" s="54">
        <v>2</v>
      </c>
      <c r="I3" s="54">
        <v>37</v>
      </c>
      <c r="J3" s="54">
        <v>80</v>
      </c>
      <c r="K3" s="23">
        <f t="shared" ref="K3" si="2">SUM(I3:J3)</f>
        <v>117</v>
      </c>
      <c r="L3" s="54">
        <v>31.2</v>
      </c>
      <c r="M3" s="82">
        <f t="shared" ref="M3" si="3">(I3+L3)</f>
        <v>68.2</v>
      </c>
      <c r="N3" s="54">
        <v>17</v>
      </c>
      <c r="O3" s="54">
        <v>1598</v>
      </c>
      <c r="P3" s="133">
        <f t="shared" ref="P3" si="4">M3/O3</f>
        <v>4.2678347934918648E-2</v>
      </c>
      <c r="Q3" s="327">
        <v>48</v>
      </c>
      <c r="R3" s="54">
        <v>451</v>
      </c>
      <c r="S3" s="55">
        <v>26465690</v>
      </c>
      <c r="T3" s="24">
        <f t="shared" ref="T3" si="5">SUM(U3:V3)</f>
        <v>26465690</v>
      </c>
      <c r="U3" s="55">
        <v>19968322</v>
      </c>
      <c r="V3" s="55">
        <v>6497368</v>
      </c>
      <c r="W3" s="135">
        <f t="shared" ref="W3" si="6">V3/T3</f>
        <v>0.24550155314295602</v>
      </c>
      <c r="X3" s="6"/>
      <c r="Y3" s="6"/>
      <c r="Z3" s="6"/>
      <c r="AA3" s="6"/>
      <c r="AB3" s="6"/>
      <c r="AC3" s="6"/>
      <c r="AD3" s="6"/>
    </row>
    <row r="4" spans="1:220">
      <c r="A4" s="105">
        <v>2021</v>
      </c>
      <c r="B4" s="54">
        <v>67</v>
      </c>
      <c r="C4" s="54">
        <v>24</v>
      </c>
      <c r="D4" s="23">
        <f>SUM(B4:C4)</f>
        <v>91</v>
      </c>
      <c r="E4" s="82">
        <f>ROUND((O4/B4), 0)</f>
        <v>22</v>
      </c>
      <c r="F4" s="82">
        <f t="shared" ref="F4" si="7">ROUND((O4/D4), 0)</f>
        <v>16</v>
      </c>
      <c r="G4" s="54">
        <v>10</v>
      </c>
      <c r="H4" s="54">
        <v>0</v>
      </c>
      <c r="I4" s="54">
        <v>86</v>
      </c>
      <c r="J4" s="54">
        <v>86</v>
      </c>
      <c r="K4" s="23">
        <f t="shared" ref="K4" si="8">SUM(I4:J4)</f>
        <v>172</v>
      </c>
      <c r="L4" s="54">
        <v>34</v>
      </c>
      <c r="M4" s="82">
        <f>(I4+L4)</f>
        <v>120</v>
      </c>
      <c r="N4" s="54">
        <v>27</v>
      </c>
      <c r="O4" s="54">
        <v>1464</v>
      </c>
      <c r="P4" s="133">
        <f t="shared" ref="P4" si="9">M4/O4</f>
        <v>8.1967213114754092E-2</v>
      </c>
      <c r="Q4" s="327">
        <v>53</v>
      </c>
      <c r="R4" s="54">
        <v>553</v>
      </c>
      <c r="S4" s="55">
        <v>25850198</v>
      </c>
      <c r="T4" s="24">
        <f t="shared" ref="T4" si="10">SUM(U4:V4)</f>
        <v>25850198</v>
      </c>
      <c r="U4" s="55">
        <v>18877446</v>
      </c>
      <c r="V4" s="55">
        <v>6972752</v>
      </c>
      <c r="W4" s="135">
        <f t="shared" ref="W4" si="11">V4/T4</f>
        <v>0.26973688944278107</v>
      </c>
      <c r="X4" s="6"/>
      <c r="Y4" s="6"/>
      <c r="Z4" s="6"/>
      <c r="AA4" s="6"/>
      <c r="AB4" s="6"/>
      <c r="AC4" s="6"/>
      <c r="AD4" s="6"/>
    </row>
    <row r="5" spans="1:220">
      <c r="A5" s="105">
        <v>2020</v>
      </c>
      <c r="B5" s="54">
        <v>67</v>
      </c>
      <c r="C5" s="54">
        <v>42</v>
      </c>
      <c r="D5" s="23">
        <f>SUM(B5:C5)</f>
        <v>109</v>
      </c>
      <c r="E5" s="82">
        <f>ROUND((O5/B5), 0)</f>
        <v>23</v>
      </c>
      <c r="F5" s="82">
        <f>ROUND((O5/D5), 0)</f>
        <v>14</v>
      </c>
      <c r="G5" s="54">
        <v>12</v>
      </c>
      <c r="H5" s="54">
        <v>0</v>
      </c>
      <c r="I5" s="54">
        <v>52</v>
      </c>
      <c r="J5" s="54">
        <v>57</v>
      </c>
      <c r="K5" s="23">
        <f t="shared" ref="K5" si="12">SUM(I5:J5)</f>
        <v>109</v>
      </c>
      <c r="L5" s="54">
        <v>23</v>
      </c>
      <c r="M5" s="82">
        <f>(I5+L5)</f>
        <v>75</v>
      </c>
      <c r="N5" s="54">
        <v>17</v>
      </c>
      <c r="O5" s="54">
        <v>1511</v>
      </c>
      <c r="P5" s="133">
        <f t="shared" ref="P5" si="13">M5/O5</f>
        <v>4.9636002647253472E-2</v>
      </c>
      <c r="Q5" s="327">
        <v>39</v>
      </c>
      <c r="R5" s="54">
        <v>547</v>
      </c>
      <c r="S5" s="55">
        <v>26208471</v>
      </c>
      <c r="T5" s="24">
        <f>SUM(U5:V5)</f>
        <v>27915934</v>
      </c>
      <c r="U5" s="55">
        <v>20930078</v>
      </c>
      <c r="V5" s="55">
        <v>6985856</v>
      </c>
      <c r="W5" s="135">
        <f t="shared" ref="W5" si="14">V5/T5</f>
        <v>0.25024618556556266</v>
      </c>
      <c r="X5" s="6"/>
      <c r="Y5" s="6"/>
      <c r="Z5" s="6"/>
      <c r="AA5" s="6"/>
      <c r="AB5" s="6"/>
      <c r="AC5" s="6"/>
      <c r="AD5" s="6"/>
    </row>
    <row r="6" spans="1:220">
      <c r="A6" s="105">
        <v>2019</v>
      </c>
      <c r="B6" s="54">
        <v>65</v>
      </c>
      <c r="C6" s="54">
        <v>29</v>
      </c>
      <c r="D6" s="23">
        <f>SUM(B6:C6)</f>
        <v>94</v>
      </c>
      <c r="E6" s="82">
        <f>ROUND((O6/B6), 0)</f>
        <v>27</v>
      </c>
      <c r="F6" s="82">
        <f>ROUND((O6/D6), 0)</f>
        <v>19</v>
      </c>
      <c r="G6" s="54">
        <v>10</v>
      </c>
      <c r="H6" s="54">
        <v>0</v>
      </c>
      <c r="I6" s="54">
        <v>32</v>
      </c>
      <c r="J6" s="54">
        <v>36</v>
      </c>
      <c r="K6" s="23">
        <f>SUM(I6:J6)</f>
        <v>68</v>
      </c>
      <c r="L6" s="54">
        <v>14</v>
      </c>
      <c r="M6" s="82">
        <f>(I6+L6)</f>
        <v>46</v>
      </c>
      <c r="N6" s="54">
        <v>9</v>
      </c>
      <c r="O6" s="54">
        <v>1753</v>
      </c>
      <c r="P6" s="133">
        <f>M6/O6</f>
        <v>2.6240730176839703E-2</v>
      </c>
      <c r="Q6" s="327">
        <v>32</v>
      </c>
      <c r="R6" s="54">
        <v>600</v>
      </c>
      <c r="S6" s="55">
        <v>26208471</v>
      </c>
      <c r="T6" s="24">
        <f>SUM(U6:V6)</f>
        <v>26208471</v>
      </c>
      <c r="U6" s="55">
        <v>20687282</v>
      </c>
      <c r="V6" s="55">
        <v>5521189</v>
      </c>
      <c r="W6" s="135">
        <f>V6/T6</f>
        <v>0.21066429247246052</v>
      </c>
      <c r="X6" s="6"/>
      <c r="Y6" s="6"/>
      <c r="Z6" s="6"/>
      <c r="AA6" s="6"/>
      <c r="AB6" s="6"/>
      <c r="AC6" s="6"/>
      <c r="AD6" s="6"/>
    </row>
    <row r="7" spans="1:220" s="14" customFormat="1">
      <c r="A7" s="10">
        <v>2018</v>
      </c>
      <c r="B7" s="17">
        <v>54</v>
      </c>
      <c r="C7" s="17">
        <v>18</v>
      </c>
      <c r="D7" s="23">
        <f>SUM(B7:C7)</f>
        <v>72</v>
      </c>
      <c r="E7" s="82">
        <f>ROUND((O7/B7), 0)</f>
        <v>21</v>
      </c>
      <c r="F7" s="82">
        <f>ROUND((O7/D7), 0)</f>
        <v>16</v>
      </c>
      <c r="G7" s="17">
        <v>8</v>
      </c>
      <c r="H7" s="17">
        <v>0</v>
      </c>
      <c r="I7" s="17">
        <v>6</v>
      </c>
      <c r="J7" s="17">
        <v>34</v>
      </c>
      <c r="K7" s="23">
        <f>SUM(I7:J7)</f>
        <v>40</v>
      </c>
      <c r="L7" s="17">
        <v>14</v>
      </c>
      <c r="M7" s="82">
        <f>(I7+L7)</f>
        <v>20</v>
      </c>
      <c r="N7" s="17">
        <v>3</v>
      </c>
      <c r="O7" s="17">
        <v>1128</v>
      </c>
      <c r="P7" s="133">
        <f>M7/O7</f>
        <v>1.7730496453900711E-2</v>
      </c>
      <c r="Q7" s="17">
        <v>47</v>
      </c>
      <c r="R7" s="17">
        <v>396</v>
      </c>
      <c r="S7" s="20">
        <v>28901459</v>
      </c>
      <c r="T7" s="24">
        <f>SUM(U7:V7)</f>
        <v>28901459</v>
      </c>
      <c r="U7" s="20">
        <v>19589624</v>
      </c>
      <c r="V7" s="20">
        <v>9311835</v>
      </c>
      <c r="W7" s="135">
        <f>V7/T7</f>
        <v>0.32219255782208089</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30</v>
      </c>
      <c r="C8" s="17">
        <v>7</v>
      </c>
      <c r="D8" s="27">
        <f>SUM(B8:C8)</f>
        <v>37</v>
      </c>
      <c r="E8" s="27">
        <f t="shared" ref="E8:E23" si="15">ROUND((O8/B8), 0)</f>
        <v>21</v>
      </c>
      <c r="F8" s="27">
        <f>ROUND((O8/D8), 0)</f>
        <v>17</v>
      </c>
      <c r="G8" s="17">
        <v>9</v>
      </c>
      <c r="H8" s="17">
        <v>3</v>
      </c>
      <c r="I8" s="17">
        <v>41</v>
      </c>
      <c r="J8" s="17">
        <v>46</v>
      </c>
      <c r="K8" s="27">
        <f>SUM(I8:J8)</f>
        <v>87</v>
      </c>
      <c r="L8" s="17">
        <f>46*0.4</f>
        <v>18.400000000000002</v>
      </c>
      <c r="M8" s="29">
        <f>(I8+L8)</f>
        <v>59.400000000000006</v>
      </c>
      <c r="N8" s="255">
        <v>10</v>
      </c>
      <c r="O8" s="255">
        <v>625.6</v>
      </c>
      <c r="P8" s="133">
        <f t="shared" ref="P8:P23" si="16">M8/O8</f>
        <v>9.4948849104859345E-2</v>
      </c>
      <c r="Q8" s="17">
        <v>61</v>
      </c>
      <c r="R8" s="17">
        <v>254</v>
      </c>
      <c r="S8" s="223">
        <v>12570943</v>
      </c>
      <c r="T8" s="28">
        <f>SUM(U8:V8)</f>
        <v>15437010</v>
      </c>
      <c r="U8" s="252">
        <v>10172244</v>
      </c>
      <c r="V8" s="20">
        <v>5264766</v>
      </c>
      <c r="W8" s="135">
        <f t="shared" ref="W8:W23" si="17">V8/T8</f>
        <v>0.34104829886098409</v>
      </c>
    </row>
    <row r="9" spans="1:220" s="9" customFormat="1">
      <c r="A9" s="10">
        <v>2016</v>
      </c>
      <c r="B9" s="54">
        <v>27</v>
      </c>
      <c r="C9" s="54">
        <v>11</v>
      </c>
      <c r="D9" s="23">
        <f>B9+C9</f>
        <v>38</v>
      </c>
      <c r="E9" s="82">
        <f t="shared" si="15"/>
        <v>20</v>
      </c>
      <c r="F9" s="82">
        <f>ROUND((O9/D9), 0)</f>
        <v>14</v>
      </c>
      <c r="G9" s="66">
        <v>8</v>
      </c>
      <c r="H9" s="66">
        <v>3</v>
      </c>
      <c r="I9" s="54">
        <v>50</v>
      </c>
      <c r="J9" s="54">
        <v>56</v>
      </c>
      <c r="K9" s="23">
        <f>I9+J9</f>
        <v>106</v>
      </c>
      <c r="L9" s="54">
        <v>22</v>
      </c>
      <c r="M9" s="82">
        <f>I9+L9</f>
        <v>72</v>
      </c>
      <c r="N9" s="54">
        <v>6</v>
      </c>
      <c r="O9" s="54">
        <v>548</v>
      </c>
      <c r="P9" s="133">
        <f t="shared" si="16"/>
        <v>0.13138686131386862</v>
      </c>
      <c r="Q9" s="54">
        <v>60</v>
      </c>
      <c r="R9" s="54">
        <v>260</v>
      </c>
      <c r="S9" s="58">
        <v>12929433</v>
      </c>
      <c r="T9" s="24">
        <f>SUM(U9:V9)</f>
        <v>13636463</v>
      </c>
      <c r="U9" s="61">
        <v>11327598</v>
      </c>
      <c r="V9" s="61">
        <v>2308865</v>
      </c>
      <c r="W9" s="135">
        <f t="shared" si="17"/>
        <v>0.16931553292081677</v>
      </c>
    </row>
    <row r="10" spans="1:220" s="16" customFormat="1">
      <c r="A10" s="57">
        <v>2015</v>
      </c>
      <c r="B10" s="54">
        <v>30</v>
      </c>
      <c r="C10" s="70">
        <v>11.5</v>
      </c>
      <c r="D10" s="65">
        <v>41.5</v>
      </c>
      <c r="E10" s="13">
        <f t="shared" si="15"/>
        <v>19</v>
      </c>
      <c r="F10" s="65">
        <v>27.2</v>
      </c>
      <c r="G10" s="83"/>
      <c r="H10" s="83"/>
      <c r="I10" s="70">
        <v>56</v>
      </c>
      <c r="J10" s="70">
        <v>53</v>
      </c>
      <c r="K10" s="65">
        <v>109</v>
      </c>
      <c r="L10" s="70">
        <v>21</v>
      </c>
      <c r="M10" s="65">
        <v>77.2</v>
      </c>
      <c r="N10" s="70">
        <v>8</v>
      </c>
      <c r="O10" s="70">
        <v>584.6</v>
      </c>
      <c r="P10" s="133">
        <f t="shared" si="16"/>
        <v>0.13205610673965104</v>
      </c>
      <c r="Q10" s="70">
        <v>75</v>
      </c>
      <c r="R10" s="70">
        <v>206</v>
      </c>
      <c r="S10" s="78">
        <v>12911473</v>
      </c>
      <c r="T10" s="79">
        <v>17246384</v>
      </c>
      <c r="U10" s="78">
        <v>10453048</v>
      </c>
      <c r="V10" s="78">
        <v>6793336</v>
      </c>
      <c r="W10" s="135">
        <f t="shared" si="17"/>
        <v>0.39389915010590049</v>
      </c>
    </row>
    <row r="11" spans="1:220" s="16" customFormat="1">
      <c r="A11" s="57">
        <v>2014</v>
      </c>
      <c r="B11" s="54">
        <v>32</v>
      </c>
      <c r="C11" s="70">
        <v>9</v>
      </c>
      <c r="D11" s="65">
        <v>41</v>
      </c>
      <c r="E11" s="13">
        <f t="shared" si="15"/>
        <v>16</v>
      </c>
      <c r="F11" s="65">
        <v>26.3</v>
      </c>
      <c r="G11" s="83"/>
      <c r="H11" s="83"/>
      <c r="I11" s="70">
        <v>57</v>
      </c>
      <c r="J11" s="70">
        <v>69</v>
      </c>
      <c r="K11" s="65">
        <v>126</v>
      </c>
      <c r="L11" s="70">
        <v>28</v>
      </c>
      <c r="M11" s="65">
        <v>84.6</v>
      </c>
      <c r="N11" s="70">
        <v>17</v>
      </c>
      <c r="O11" s="70">
        <v>526.79999999999995</v>
      </c>
      <c r="P11" s="133">
        <f t="shared" si="16"/>
        <v>0.16059225512528474</v>
      </c>
      <c r="Q11" s="70">
        <v>111</v>
      </c>
      <c r="R11" s="70">
        <v>217</v>
      </c>
      <c r="S11" s="78">
        <v>11610947</v>
      </c>
      <c r="T11" s="79">
        <v>13770633</v>
      </c>
      <c r="U11" s="78">
        <v>9792548</v>
      </c>
      <c r="V11" s="78">
        <v>3978085</v>
      </c>
      <c r="W11" s="135">
        <f t="shared" si="17"/>
        <v>0.28888178197763315</v>
      </c>
    </row>
    <row r="12" spans="1:220">
      <c r="A12" s="15">
        <v>2013</v>
      </c>
      <c r="B12" s="528">
        <v>31</v>
      </c>
      <c r="C12" s="528">
        <v>6</v>
      </c>
      <c r="D12" s="23">
        <f>B12+C12</f>
        <v>37</v>
      </c>
      <c r="E12" s="82">
        <f t="shared" si="15"/>
        <v>18</v>
      </c>
      <c r="F12" s="82">
        <f t="shared" ref="F12:F23" si="18">ROUND((O12/D12), 0)</f>
        <v>15</v>
      </c>
      <c r="G12" s="85"/>
      <c r="H12" s="85"/>
      <c r="I12" s="528">
        <v>89</v>
      </c>
      <c r="J12" s="528">
        <v>84</v>
      </c>
      <c r="K12" s="23">
        <f>I12+J12</f>
        <v>173</v>
      </c>
      <c r="L12" s="528">
        <v>33.6</v>
      </c>
      <c r="M12" s="82">
        <f>I12+L12</f>
        <v>122.6</v>
      </c>
      <c r="N12" s="528">
        <v>24</v>
      </c>
      <c r="O12" s="528">
        <v>565.4</v>
      </c>
      <c r="P12" s="133">
        <f t="shared" si="16"/>
        <v>0.2168376370711001</v>
      </c>
      <c r="Q12" s="528">
        <v>152</v>
      </c>
      <c r="R12" s="528">
        <v>151</v>
      </c>
      <c r="S12" s="84">
        <v>10977679</v>
      </c>
      <c r="T12" s="24">
        <f t="shared" ref="T12:T17" si="19">SUM(U12:V12)</f>
        <v>14080020</v>
      </c>
      <c r="U12" s="84">
        <v>9758608</v>
      </c>
      <c r="V12" s="84">
        <v>4321412</v>
      </c>
      <c r="W12" s="135">
        <f t="shared" si="17"/>
        <v>0.30691802994598016</v>
      </c>
    </row>
    <row r="13" spans="1:220">
      <c r="A13" s="15">
        <v>2012</v>
      </c>
      <c r="B13" s="528">
        <v>31</v>
      </c>
      <c r="C13" s="528">
        <v>20</v>
      </c>
      <c r="D13" s="23">
        <f>B13+C13</f>
        <v>51</v>
      </c>
      <c r="E13" s="82">
        <f t="shared" si="15"/>
        <v>13</v>
      </c>
      <c r="F13" s="82">
        <f t="shared" si="18"/>
        <v>8</v>
      </c>
      <c r="G13" s="85"/>
      <c r="H13" s="85"/>
      <c r="I13" s="528">
        <v>109</v>
      </c>
      <c r="J13" s="528">
        <v>132</v>
      </c>
      <c r="K13" s="23">
        <f>I13+J13</f>
        <v>241</v>
      </c>
      <c r="L13" s="528">
        <v>52.8</v>
      </c>
      <c r="M13" s="82">
        <f>I13+L13</f>
        <v>161.80000000000001</v>
      </c>
      <c r="N13" s="528">
        <v>24</v>
      </c>
      <c r="O13" s="528">
        <v>417.80000000000007</v>
      </c>
      <c r="P13" s="133">
        <f t="shared" si="16"/>
        <v>0.38726663475347051</v>
      </c>
      <c r="Q13" s="528">
        <v>189</v>
      </c>
      <c r="R13" s="528">
        <v>172</v>
      </c>
      <c r="S13" s="84">
        <v>13046609</v>
      </c>
      <c r="T13" s="24">
        <f t="shared" si="19"/>
        <v>15941183</v>
      </c>
      <c r="U13" s="84">
        <v>9248514</v>
      </c>
      <c r="V13" s="84">
        <v>6692669</v>
      </c>
      <c r="W13" s="135">
        <f t="shared" si="17"/>
        <v>0.41983515276124739</v>
      </c>
    </row>
    <row r="14" spans="1:220">
      <c r="A14" s="15" t="s">
        <v>26</v>
      </c>
      <c r="B14" s="528">
        <v>29</v>
      </c>
      <c r="C14" s="528">
        <v>13.5</v>
      </c>
      <c r="D14" s="23">
        <f t="shared" ref="D14:D23" si="20">SUM(B14:C14)</f>
        <v>42.5</v>
      </c>
      <c r="E14" s="82">
        <f t="shared" si="15"/>
        <v>17</v>
      </c>
      <c r="F14" s="82">
        <f t="shared" si="18"/>
        <v>12</v>
      </c>
      <c r="G14" s="85"/>
      <c r="H14" s="85"/>
      <c r="I14" s="528">
        <v>148</v>
      </c>
      <c r="J14" s="528">
        <v>163</v>
      </c>
      <c r="K14" s="23">
        <f t="shared" ref="K14:K23" si="21">SUM(I14:J14)</f>
        <v>311</v>
      </c>
      <c r="L14" s="528">
        <v>65.2</v>
      </c>
      <c r="M14" s="82">
        <f t="shared" ref="M14:M23" si="22">(I14+L14)</f>
        <v>213.2</v>
      </c>
      <c r="N14" s="528">
        <v>27</v>
      </c>
      <c r="O14" s="528">
        <v>501.59999999999997</v>
      </c>
      <c r="P14" s="133">
        <f t="shared" si="16"/>
        <v>0.42503987240829344</v>
      </c>
      <c r="Q14" s="528">
        <v>228</v>
      </c>
      <c r="R14" s="528">
        <v>155</v>
      </c>
      <c r="S14" s="84">
        <v>12174850</v>
      </c>
      <c r="T14" s="24">
        <f t="shared" si="19"/>
        <v>15499911</v>
      </c>
      <c r="U14" s="84">
        <v>9817668</v>
      </c>
      <c r="V14" s="84">
        <v>5682243</v>
      </c>
      <c r="W14" s="135">
        <f t="shared" si="17"/>
        <v>0.36659842756516475</v>
      </c>
    </row>
    <row r="15" spans="1:220">
      <c r="A15" s="15" t="s">
        <v>27</v>
      </c>
      <c r="B15" s="528">
        <v>30</v>
      </c>
      <c r="C15" s="528">
        <v>7.5</v>
      </c>
      <c r="D15" s="23">
        <f t="shared" si="20"/>
        <v>37.5</v>
      </c>
      <c r="E15" s="82">
        <f t="shared" si="15"/>
        <v>18</v>
      </c>
      <c r="F15" s="82">
        <f t="shared" si="18"/>
        <v>15</v>
      </c>
      <c r="G15" s="85"/>
      <c r="H15" s="85"/>
      <c r="I15" s="528">
        <v>180</v>
      </c>
      <c r="J15" s="528">
        <v>203</v>
      </c>
      <c r="K15" s="23">
        <f t="shared" si="21"/>
        <v>383</v>
      </c>
      <c r="L15" s="528">
        <v>81.2</v>
      </c>
      <c r="M15" s="82">
        <f t="shared" si="22"/>
        <v>261.2</v>
      </c>
      <c r="N15" s="528">
        <v>32</v>
      </c>
      <c r="O15" s="528">
        <v>552</v>
      </c>
      <c r="P15" s="133">
        <f t="shared" si="16"/>
        <v>0.47318840579710142</v>
      </c>
      <c r="Q15" s="528">
        <v>241</v>
      </c>
      <c r="R15" s="528">
        <v>119</v>
      </c>
      <c r="S15" s="84">
        <v>12224364.5</v>
      </c>
      <c r="T15" s="24">
        <f t="shared" si="19"/>
        <v>15633902</v>
      </c>
      <c r="U15" s="84">
        <v>9319562</v>
      </c>
      <c r="V15" s="84">
        <v>6314340</v>
      </c>
      <c r="W15" s="135">
        <f t="shared" si="17"/>
        <v>0.40388765389472187</v>
      </c>
    </row>
    <row r="16" spans="1:220">
      <c r="A16" s="15" t="s">
        <v>28</v>
      </c>
      <c r="B16" s="528">
        <v>31</v>
      </c>
      <c r="C16" s="528">
        <v>9.5</v>
      </c>
      <c r="D16" s="23">
        <f t="shared" si="20"/>
        <v>40.5</v>
      </c>
      <c r="E16" s="82">
        <f t="shared" si="15"/>
        <v>18</v>
      </c>
      <c r="F16" s="82">
        <f t="shared" si="18"/>
        <v>13</v>
      </c>
      <c r="G16" s="85"/>
      <c r="H16" s="85"/>
      <c r="I16" s="528">
        <v>185</v>
      </c>
      <c r="J16" s="528">
        <v>240</v>
      </c>
      <c r="K16" s="23">
        <f t="shared" si="21"/>
        <v>425</v>
      </c>
      <c r="L16" s="528">
        <v>96</v>
      </c>
      <c r="M16" s="82">
        <f t="shared" si="22"/>
        <v>281</v>
      </c>
      <c r="N16" s="528">
        <v>35</v>
      </c>
      <c r="O16" s="528">
        <v>543.32000000000005</v>
      </c>
      <c r="P16" s="133">
        <f t="shared" si="16"/>
        <v>0.51719060590443933</v>
      </c>
      <c r="Q16" s="528">
        <v>355</v>
      </c>
      <c r="R16" s="528">
        <v>121</v>
      </c>
      <c r="S16" s="84">
        <v>12233034</v>
      </c>
      <c r="T16" s="24">
        <f t="shared" si="19"/>
        <v>15392662</v>
      </c>
      <c r="U16" s="84">
        <v>9355231</v>
      </c>
      <c r="V16" s="84">
        <v>6037431</v>
      </c>
      <c r="W16" s="135">
        <f t="shared" si="17"/>
        <v>0.39222786805816956</v>
      </c>
    </row>
    <row r="17" spans="1:23">
      <c r="A17" s="15" t="s">
        <v>29</v>
      </c>
      <c r="B17" s="528">
        <v>33</v>
      </c>
      <c r="C17" s="528">
        <v>6.5</v>
      </c>
      <c r="D17" s="23">
        <f t="shared" si="20"/>
        <v>39.5</v>
      </c>
      <c r="E17" s="82">
        <f t="shared" si="15"/>
        <v>17</v>
      </c>
      <c r="F17" s="82">
        <f t="shared" si="18"/>
        <v>15</v>
      </c>
      <c r="G17" s="85"/>
      <c r="H17" s="85"/>
      <c r="I17" s="528">
        <v>159</v>
      </c>
      <c r="J17" s="528">
        <v>291</v>
      </c>
      <c r="K17" s="23">
        <f t="shared" si="21"/>
        <v>450</v>
      </c>
      <c r="L17" s="528">
        <v>116.4</v>
      </c>
      <c r="M17" s="82">
        <f t="shared" si="22"/>
        <v>275.39999999999998</v>
      </c>
      <c r="N17" s="528">
        <v>64</v>
      </c>
      <c r="O17" s="528">
        <v>575</v>
      </c>
      <c r="P17" s="133">
        <f t="shared" si="16"/>
        <v>0.47895652173913039</v>
      </c>
      <c r="Q17" s="528">
        <v>216</v>
      </c>
      <c r="R17" s="528">
        <v>117</v>
      </c>
      <c r="S17" s="84">
        <v>10710499</v>
      </c>
      <c r="T17" s="24">
        <f t="shared" si="19"/>
        <v>15418933</v>
      </c>
      <c r="U17" s="84">
        <v>8614594</v>
      </c>
      <c r="V17" s="84">
        <v>6804339</v>
      </c>
      <c r="W17" s="135">
        <f t="shared" si="17"/>
        <v>0.44129765658881842</v>
      </c>
    </row>
    <row r="18" spans="1:23">
      <c r="A18" s="15">
        <v>2007</v>
      </c>
      <c r="B18" s="528">
        <v>32</v>
      </c>
      <c r="C18" s="528">
        <v>6.5</v>
      </c>
      <c r="D18" s="23">
        <f t="shared" si="20"/>
        <v>38.5</v>
      </c>
      <c r="E18" s="82">
        <f t="shared" si="15"/>
        <v>16</v>
      </c>
      <c r="F18" s="82">
        <f t="shared" si="18"/>
        <v>14</v>
      </c>
      <c r="G18" s="85"/>
      <c r="H18" s="85"/>
      <c r="I18" s="528">
        <v>156</v>
      </c>
      <c r="J18" s="528">
        <v>275</v>
      </c>
      <c r="K18" s="23">
        <f t="shared" si="21"/>
        <v>431</v>
      </c>
      <c r="L18" s="528">
        <v>110</v>
      </c>
      <c r="M18" s="82">
        <f t="shared" si="22"/>
        <v>266</v>
      </c>
      <c r="N18" s="528">
        <v>65</v>
      </c>
      <c r="O18" s="528">
        <v>524</v>
      </c>
      <c r="P18" s="133">
        <f t="shared" si="16"/>
        <v>0.50763358778625955</v>
      </c>
      <c r="Q18" s="528">
        <v>201</v>
      </c>
      <c r="R18" s="528">
        <v>112</v>
      </c>
      <c r="S18" s="148">
        <v>9465947</v>
      </c>
      <c r="T18" s="24">
        <f>SUM(U18,V18)</f>
        <v>14918492</v>
      </c>
      <c r="U18" s="148">
        <v>8399526</v>
      </c>
      <c r="V18" s="148">
        <v>6518966</v>
      </c>
      <c r="W18" s="135">
        <f t="shared" si="17"/>
        <v>0.4369721819068576</v>
      </c>
    </row>
    <row r="19" spans="1:23">
      <c r="A19" s="15">
        <v>2006</v>
      </c>
      <c r="B19" s="528">
        <v>31</v>
      </c>
      <c r="C19" s="528">
        <v>5.5</v>
      </c>
      <c r="D19" s="23">
        <f t="shared" si="20"/>
        <v>36.5</v>
      </c>
      <c r="E19" s="82">
        <f t="shared" si="15"/>
        <v>15</v>
      </c>
      <c r="F19" s="82">
        <f t="shared" si="18"/>
        <v>13</v>
      </c>
      <c r="G19" s="85"/>
      <c r="H19" s="85"/>
      <c r="I19" s="528">
        <v>126</v>
      </c>
      <c r="J19" s="528">
        <v>256</v>
      </c>
      <c r="K19" s="23">
        <f t="shared" si="21"/>
        <v>382</v>
      </c>
      <c r="L19" s="528">
        <v>102</v>
      </c>
      <c r="M19" s="82">
        <f t="shared" si="22"/>
        <v>228</v>
      </c>
      <c r="N19" s="528">
        <v>53</v>
      </c>
      <c r="O19" s="528">
        <v>468</v>
      </c>
      <c r="P19" s="133">
        <f t="shared" si="16"/>
        <v>0.48717948717948717</v>
      </c>
      <c r="Q19" s="528">
        <v>209</v>
      </c>
      <c r="R19" s="528">
        <v>145</v>
      </c>
      <c r="S19" s="132">
        <v>9584963</v>
      </c>
      <c r="T19" s="24">
        <f>SUM(U19,V19)</f>
        <v>10331987</v>
      </c>
      <c r="U19" s="132">
        <v>8003128</v>
      </c>
      <c r="V19" s="132">
        <v>2328859</v>
      </c>
      <c r="W19" s="135">
        <f t="shared" si="17"/>
        <v>0.2254028194189559</v>
      </c>
    </row>
    <row r="20" spans="1:23">
      <c r="A20" s="15">
        <v>2005</v>
      </c>
      <c r="B20" s="528">
        <v>11</v>
      </c>
      <c r="C20" s="528">
        <v>4.5</v>
      </c>
      <c r="D20" s="23">
        <f t="shared" si="20"/>
        <v>15.5</v>
      </c>
      <c r="E20" s="82">
        <f t="shared" si="15"/>
        <v>47</v>
      </c>
      <c r="F20" s="82">
        <f t="shared" si="18"/>
        <v>33</v>
      </c>
      <c r="G20" s="85"/>
      <c r="H20" s="85"/>
      <c r="I20" s="528">
        <v>160</v>
      </c>
      <c r="J20" s="528">
        <v>233</v>
      </c>
      <c r="K20" s="23">
        <f t="shared" si="21"/>
        <v>393</v>
      </c>
      <c r="L20" s="528">
        <v>93</v>
      </c>
      <c r="M20" s="82">
        <f t="shared" si="22"/>
        <v>253</v>
      </c>
      <c r="N20" s="528">
        <v>16</v>
      </c>
      <c r="O20" s="528">
        <v>518</v>
      </c>
      <c r="P20" s="133">
        <f t="shared" si="16"/>
        <v>0.48841698841698844</v>
      </c>
      <c r="Q20" s="528">
        <v>185</v>
      </c>
      <c r="R20" s="528">
        <v>176</v>
      </c>
      <c r="S20" s="132">
        <v>9626251</v>
      </c>
      <c r="T20" s="24">
        <f>SUM(U20,V20)</f>
        <v>13423519</v>
      </c>
      <c r="U20" s="132">
        <v>7999595</v>
      </c>
      <c r="V20" s="132">
        <v>5423924</v>
      </c>
      <c r="W20" s="135">
        <f t="shared" si="17"/>
        <v>0.40406125994234449</v>
      </c>
    </row>
    <row r="21" spans="1:23">
      <c r="A21" s="15">
        <v>2004</v>
      </c>
      <c r="B21" s="528">
        <v>10</v>
      </c>
      <c r="C21" s="528">
        <v>5</v>
      </c>
      <c r="D21" s="23">
        <f t="shared" si="20"/>
        <v>15</v>
      </c>
      <c r="E21" s="82">
        <f t="shared" si="15"/>
        <v>54</v>
      </c>
      <c r="F21" s="82">
        <f t="shared" si="18"/>
        <v>36</v>
      </c>
      <c r="G21" s="85"/>
      <c r="H21" s="85"/>
      <c r="I21" s="528">
        <v>129</v>
      </c>
      <c r="J21" s="528">
        <v>228</v>
      </c>
      <c r="K21" s="23">
        <f t="shared" si="21"/>
        <v>357</v>
      </c>
      <c r="L21" s="528">
        <v>91</v>
      </c>
      <c r="M21" s="82">
        <f t="shared" si="22"/>
        <v>220</v>
      </c>
      <c r="N21" s="528">
        <v>33</v>
      </c>
      <c r="O21" s="528">
        <v>544</v>
      </c>
      <c r="P21" s="133">
        <f t="shared" si="16"/>
        <v>0.40441176470588236</v>
      </c>
      <c r="Q21" s="528">
        <v>166</v>
      </c>
      <c r="R21" s="528">
        <v>226</v>
      </c>
      <c r="S21" s="132">
        <v>8975370</v>
      </c>
      <c r="T21" s="24">
        <f>SUM(U21,V21)</f>
        <v>13744975</v>
      </c>
      <c r="U21" s="132">
        <v>8118905</v>
      </c>
      <c r="V21" s="132">
        <v>5626070</v>
      </c>
      <c r="W21" s="135">
        <f t="shared" si="17"/>
        <v>0.40931831451130324</v>
      </c>
    </row>
    <row r="22" spans="1:23">
      <c r="A22" s="15">
        <v>2003</v>
      </c>
      <c r="B22" s="528">
        <v>10</v>
      </c>
      <c r="C22" s="528">
        <v>2</v>
      </c>
      <c r="D22" s="23">
        <f t="shared" si="20"/>
        <v>12</v>
      </c>
      <c r="E22" s="82">
        <f t="shared" si="15"/>
        <v>60</v>
      </c>
      <c r="F22" s="82">
        <f t="shared" si="18"/>
        <v>50</v>
      </c>
      <c r="G22" s="85"/>
      <c r="H22" s="85"/>
      <c r="I22" s="528">
        <v>120</v>
      </c>
      <c r="J22" s="528">
        <v>210</v>
      </c>
      <c r="K22" s="23">
        <f t="shared" si="21"/>
        <v>330</v>
      </c>
      <c r="L22" s="528">
        <v>84</v>
      </c>
      <c r="M22" s="82">
        <f t="shared" si="22"/>
        <v>204</v>
      </c>
      <c r="N22" s="528">
        <v>19</v>
      </c>
      <c r="O22" s="528">
        <v>599</v>
      </c>
      <c r="P22" s="133">
        <f t="shared" si="16"/>
        <v>0.34056761268781305</v>
      </c>
      <c r="Q22" s="528">
        <v>149</v>
      </c>
      <c r="R22" s="528">
        <v>252</v>
      </c>
      <c r="S22" s="132">
        <v>9434040</v>
      </c>
      <c r="T22" s="24">
        <f>SUM(U22:V22)</f>
        <v>13623875</v>
      </c>
      <c r="U22" s="132">
        <v>8071424</v>
      </c>
      <c r="V22" s="132">
        <v>5552451</v>
      </c>
      <c r="W22" s="135">
        <f t="shared" si="17"/>
        <v>0.40755299061390388</v>
      </c>
    </row>
    <row r="23" spans="1:23">
      <c r="A23" s="15">
        <v>2002</v>
      </c>
      <c r="B23" s="528">
        <v>10</v>
      </c>
      <c r="C23" s="528">
        <f>ROUND(4.5, 0)</f>
        <v>5</v>
      </c>
      <c r="D23" s="23">
        <f t="shared" si="20"/>
        <v>15</v>
      </c>
      <c r="E23" s="82">
        <f t="shared" si="15"/>
        <v>59</v>
      </c>
      <c r="F23" s="82">
        <f t="shared" si="18"/>
        <v>39</v>
      </c>
      <c r="G23" s="85"/>
      <c r="H23" s="85"/>
      <c r="I23" s="528">
        <v>91</v>
      </c>
      <c r="J23" s="528">
        <v>184</v>
      </c>
      <c r="K23" s="23">
        <f t="shared" si="21"/>
        <v>275</v>
      </c>
      <c r="L23" s="528">
        <f>ROUND(73.6, 0)</f>
        <v>74</v>
      </c>
      <c r="M23" s="82">
        <f t="shared" si="22"/>
        <v>165</v>
      </c>
      <c r="N23" s="528">
        <v>22</v>
      </c>
      <c r="O23" s="528">
        <f>ROUND(587, 0)</f>
        <v>587</v>
      </c>
      <c r="P23" s="133">
        <f t="shared" si="16"/>
        <v>0.28109028960817717</v>
      </c>
      <c r="Q23" s="528">
        <v>111</v>
      </c>
      <c r="R23" s="528">
        <v>330</v>
      </c>
      <c r="S23" s="132">
        <v>10377972</v>
      </c>
      <c r="T23" s="24">
        <f>SUM(U23:V23)</f>
        <v>10818036</v>
      </c>
      <c r="U23" s="132">
        <v>7668070</v>
      </c>
      <c r="V23" s="132">
        <v>3149966</v>
      </c>
      <c r="W23" s="135">
        <f t="shared" si="17"/>
        <v>0.29117725250683213</v>
      </c>
    </row>
    <row r="24" spans="1:23">
      <c r="A24" s="561" t="s">
        <v>164</v>
      </c>
      <c r="B24" s="562"/>
      <c r="C24" s="562"/>
      <c r="D24" s="562"/>
      <c r="E24" s="562"/>
      <c r="F24" s="562"/>
      <c r="G24" s="562"/>
      <c r="H24" s="562"/>
      <c r="I24" s="562"/>
      <c r="J24" s="562"/>
      <c r="K24" s="562"/>
      <c r="L24" s="562"/>
      <c r="M24" s="562"/>
      <c r="N24" s="562"/>
      <c r="O24" s="562"/>
      <c r="P24" s="562"/>
      <c r="Q24" s="562"/>
      <c r="R24" s="562"/>
      <c r="S24" s="562"/>
      <c r="T24" s="562"/>
      <c r="U24" s="562"/>
      <c r="V24" s="562"/>
      <c r="W24" s="562"/>
    </row>
    <row r="25" spans="1:23">
      <c r="A25" s="550" t="s">
        <v>165</v>
      </c>
      <c r="B25" s="550"/>
      <c r="C25" s="550"/>
      <c r="D25" s="550"/>
      <c r="E25" s="550"/>
      <c r="F25" s="550"/>
      <c r="G25" s="550"/>
      <c r="H25" s="550"/>
      <c r="I25" s="550"/>
      <c r="J25" s="550"/>
      <c r="K25" s="550"/>
      <c r="L25" s="550"/>
      <c r="M25" s="550"/>
      <c r="N25" s="550"/>
      <c r="O25" s="550"/>
      <c r="P25" s="550"/>
      <c r="Q25" s="550"/>
      <c r="R25" s="550"/>
      <c r="S25" s="550"/>
      <c r="T25" s="550"/>
      <c r="U25" s="550"/>
      <c r="V25" s="550"/>
      <c r="W25" s="550"/>
    </row>
    <row r="26" spans="1:23" s="12" customFormat="1">
      <c r="A26" s="577" t="s">
        <v>166</v>
      </c>
      <c r="B26" s="576"/>
      <c r="C26" s="576"/>
      <c r="D26" s="576"/>
      <c r="E26" s="576"/>
      <c r="F26" s="576"/>
      <c r="G26" s="576"/>
      <c r="H26" s="576"/>
      <c r="I26" s="576"/>
      <c r="J26" s="576"/>
      <c r="K26" s="576"/>
      <c r="L26" s="576"/>
      <c r="M26" s="576"/>
      <c r="N26" s="576"/>
      <c r="O26" s="576"/>
      <c r="P26" s="576"/>
      <c r="Q26" s="576"/>
      <c r="R26" s="576"/>
      <c r="S26" s="576"/>
      <c r="T26" s="576"/>
      <c r="U26" s="576"/>
      <c r="V26" s="576"/>
      <c r="W26" s="576"/>
    </row>
    <row r="27" spans="1:23" s="12" customFormat="1">
      <c r="A27" s="577" t="s">
        <v>167</v>
      </c>
      <c r="B27" s="576"/>
      <c r="C27" s="576"/>
      <c r="D27" s="576"/>
      <c r="E27" s="576"/>
      <c r="F27" s="576"/>
      <c r="G27" s="576"/>
      <c r="H27" s="576"/>
      <c r="I27" s="576"/>
      <c r="J27" s="576"/>
      <c r="K27" s="576"/>
      <c r="L27" s="576"/>
      <c r="M27" s="576"/>
      <c r="N27" s="576"/>
      <c r="O27" s="576"/>
      <c r="P27" s="576"/>
      <c r="Q27" s="576"/>
      <c r="R27" s="576"/>
      <c r="S27" s="576"/>
      <c r="T27" s="576"/>
      <c r="U27" s="576"/>
      <c r="V27" s="576"/>
      <c r="W27" s="576"/>
    </row>
    <row r="28" spans="1:23" s="12" customFormat="1"/>
    <row r="29" spans="1:23" s="12" customFormat="1"/>
    <row r="30" spans="1:23" s="12" customFormat="1"/>
    <row r="31" spans="1:23" s="12" customFormat="1"/>
    <row r="32" spans="1:23" s="12" customFormat="1"/>
    <row r="33" s="12" customFormat="1"/>
    <row r="34" s="12" customFormat="1"/>
    <row r="35" s="12" customFormat="1"/>
  </sheetData>
  <mergeCells count="4">
    <mergeCell ref="A24:W24"/>
    <mergeCell ref="A25:W25"/>
    <mergeCell ref="A26:W26"/>
    <mergeCell ref="A27:W27"/>
  </mergeCells>
  <printOptions headings="1" gridLines="1"/>
  <pageMargins left="0.5" right="0.5" top="0.5" bottom="0.5" header="0" footer="0"/>
  <pageSetup paperSize="5" scale="61" orientation="landscape" r:id="rId1"/>
  <legacyDrawing r:id="rId2"/>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HL33"/>
  <sheetViews>
    <sheetView zoomScaleNormal="100" workbookViewId="0">
      <selection activeCell="I5" sqref="I5"/>
    </sheetView>
  </sheetViews>
  <sheetFormatPr defaultColWidth="8.85546875" defaultRowHeight="15"/>
  <cols>
    <col min="1" max="1" width="10.1406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0.85546875" bestFit="1" customWidth="1"/>
    <col min="23" max="23" width="12.85546875" bestFit="1" customWidth="1"/>
  </cols>
  <sheetData>
    <row r="1" spans="1:220" s="7" customFormat="1" ht="18.75">
      <c r="A1" s="1" t="s">
        <v>168</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c r="A3" s="439">
        <v>2022</v>
      </c>
      <c r="B3" s="440">
        <v>11</v>
      </c>
      <c r="C3" s="440">
        <v>14.9</v>
      </c>
      <c r="D3" s="516">
        <f t="shared" ref="D3" si="0">SUM(B3:C3)</f>
        <v>25.9</v>
      </c>
      <c r="E3" s="516">
        <f t="shared" ref="E3" si="1">ROUND((O3/B3), 0)</f>
        <v>25</v>
      </c>
      <c r="F3" s="516">
        <f t="shared" ref="F3" si="2">ROUND((O3/D3), 0)</f>
        <v>11</v>
      </c>
      <c r="G3" s="440">
        <v>11</v>
      </c>
      <c r="H3" s="440">
        <v>14.9</v>
      </c>
      <c r="I3" s="440">
        <v>111</v>
      </c>
      <c r="J3" s="440">
        <v>23</v>
      </c>
      <c r="K3" s="516">
        <f t="shared" ref="K3" si="3">I3+J3</f>
        <v>134</v>
      </c>
      <c r="L3" s="440">
        <v>14.05</v>
      </c>
      <c r="M3" s="516">
        <f t="shared" ref="M3" si="4">(I3+L3)</f>
        <v>125.05</v>
      </c>
      <c r="N3" s="440">
        <v>33</v>
      </c>
      <c r="O3" s="440">
        <v>274.43</v>
      </c>
      <c r="P3" s="517">
        <v>0.4556</v>
      </c>
      <c r="Q3" s="440">
        <v>59</v>
      </c>
      <c r="R3" s="440">
        <v>61</v>
      </c>
      <c r="S3" s="518">
        <v>4546108</v>
      </c>
      <c r="T3" s="519">
        <f t="shared" ref="T3" si="5">SUM(U3:V3)</f>
        <v>7956028.8499999996</v>
      </c>
      <c r="U3" s="520">
        <v>7956028.8499999996</v>
      </c>
      <c r="V3" s="520">
        <v>0</v>
      </c>
      <c r="W3" s="517">
        <f t="shared" ref="W3" si="6">V3/T3</f>
        <v>0</v>
      </c>
      <c r="X3" s="521"/>
      <c r="Y3" s="521"/>
      <c r="Z3" s="521"/>
      <c r="AA3" s="521"/>
      <c r="AB3" s="521"/>
      <c r="AC3" s="521"/>
      <c r="AD3" s="521"/>
      <c r="AE3" s="521"/>
      <c r="AF3" s="521"/>
      <c r="AG3" s="521"/>
      <c r="AH3" s="521"/>
      <c r="AI3" s="521"/>
      <c r="AJ3" s="521"/>
      <c r="AK3" s="521"/>
      <c r="AL3" s="521"/>
      <c r="AM3" s="521"/>
      <c r="AN3" s="521"/>
      <c r="AO3" s="521"/>
      <c r="AP3" s="521"/>
      <c r="AQ3" s="521"/>
    </row>
    <row r="4" spans="1:220" s="6" customFormat="1" ht="15.95" customHeight="1">
      <c r="A4" s="105">
        <v>2021</v>
      </c>
      <c r="B4" s="66">
        <v>11</v>
      </c>
      <c r="C4" s="66">
        <v>12.67</v>
      </c>
      <c r="D4" s="23">
        <f>SUM(B4:C4)</f>
        <v>23.67</v>
      </c>
      <c r="E4" s="82">
        <f>ROUND((O4/B4), 0)</f>
        <v>24</v>
      </c>
      <c r="F4" s="82">
        <f>ROUND((O4/D4), 0)</f>
        <v>11</v>
      </c>
      <c r="G4" s="66">
        <v>11</v>
      </c>
      <c r="H4" s="66">
        <v>12.57</v>
      </c>
      <c r="I4" s="66">
        <v>117</v>
      </c>
      <c r="J4" s="66">
        <v>28</v>
      </c>
      <c r="K4" s="23">
        <f>I4+J4</f>
        <v>145</v>
      </c>
      <c r="L4" s="66">
        <v>18.079999999999998</v>
      </c>
      <c r="M4" s="106">
        <f>(I4+L4)</f>
        <v>135.07999999999998</v>
      </c>
      <c r="N4" s="66">
        <v>32</v>
      </c>
      <c r="O4" s="66">
        <v>268.13</v>
      </c>
      <c r="P4" s="133">
        <v>0.50370000000000004</v>
      </c>
      <c r="Q4" s="66">
        <v>37</v>
      </c>
      <c r="R4" s="66">
        <v>55</v>
      </c>
      <c r="S4" s="300">
        <v>3861066</v>
      </c>
      <c r="T4" s="377">
        <f>SUM(U4:V4)</f>
        <v>6220199</v>
      </c>
      <c r="U4" s="304">
        <v>6220199</v>
      </c>
      <c r="V4" s="326">
        <v>0</v>
      </c>
      <c r="W4" s="303">
        <f>V4/T4</f>
        <v>0</v>
      </c>
      <c r="X4" s="371"/>
    </row>
    <row r="5" spans="1:220" s="6" customFormat="1" ht="15.95" customHeight="1">
      <c r="A5" s="105">
        <v>2020</v>
      </c>
      <c r="B5" s="66">
        <v>11</v>
      </c>
      <c r="C5" s="66">
        <v>10.58</v>
      </c>
      <c r="D5" s="23">
        <f t="shared" ref="D5" si="7">SUM(B5:C5)</f>
        <v>21.58</v>
      </c>
      <c r="E5" s="82">
        <f t="shared" ref="E5" si="8">ROUND((O5/B5), 0)</f>
        <v>20</v>
      </c>
      <c r="F5" s="82">
        <f t="shared" ref="F5" si="9">ROUND((O5/D5), 0)</f>
        <v>10</v>
      </c>
      <c r="G5" s="66">
        <v>11</v>
      </c>
      <c r="H5" s="66">
        <v>10.58</v>
      </c>
      <c r="I5" s="66">
        <v>91</v>
      </c>
      <c r="J5" s="66">
        <v>22</v>
      </c>
      <c r="K5" s="23">
        <f>I5+J5</f>
        <v>113</v>
      </c>
      <c r="L5" s="66">
        <v>13.04</v>
      </c>
      <c r="M5" s="106">
        <f>(I5+L5)</f>
        <v>104.03999999999999</v>
      </c>
      <c r="N5" s="66">
        <v>27</v>
      </c>
      <c r="O5" s="66">
        <v>224.1</v>
      </c>
      <c r="P5" s="133">
        <f t="shared" ref="P5" si="10">M5/O5</f>
        <v>0.46425702811244979</v>
      </c>
      <c r="Q5" s="66">
        <v>55</v>
      </c>
      <c r="R5" s="66">
        <v>43</v>
      </c>
      <c r="S5" s="300">
        <v>3735074</v>
      </c>
      <c r="T5" s="377">
        <f t="shared" ref="T5" si="11">SUM(U5:V5)</f>
        <v>5726955.3300000001</v>
      </c>
      <c r="U5" s="304">
        <v>5726955.3300000001</v>
      </c>
      <c r="V5" s="326">
        <v>0</v>
      </c>
      <c r="W5" s="303">
        <f>V5/T5</f>
        <v>0</v>
      </c>
      <c r="X5" s="371"/>
    </row>
    <row r="6" spans="1:220">
      <c r="A6" s="105">
        <v>2019</v>
      </c>
      <c r="B6" s="66">
        <v>11</v>
      </c>
      <c r="C6" s="66">
        <v>10.23</v>
      </c>
      <c r="D6" s="106">
        <f>SUM(B6:C6)</f>
        <v>21.23</v>
      </c>
      <c r="E6" s="106">
        <f>ROUND((O6/B6),0)</f>
        <v>18</v>
      </c>
      <c r="F6" s="106">
        <f>ROUND((O6/D6),0)</f>
        <v>9</v>
      </c>
      <c r="G6" s="66">
        <v>11</v>
      </c>
      <c r="H6" s="66">
        <v>10.23</v>
      </c>
      <c r="I6" s="66">
        <v>81</v>
      </c>
      <c r="J6" s="66">
        <v>27</v>
      </c>
      <c r="K6" s="106">
        <f>SUM(I6:J6)</f>
        <v>108</v>
      </c>
      <c r="L6" s="66">
        <v>16.170000000000002</v>
      </c>
      <c r="M6" s="106">
        <f>(I6+L6)</f>
        <v>97.17</v>
      </c>
      <c r="N6" s="66">
        <v>26</v>
      </c>
      <c r="O6" s="66">
        <v>200.12</v>
      </c>
      <c r="P6" s="303">
        <f>M6/O6</f>
        <v>0.48555866480111931</v>
      </c>
      <c r="Q6" s="66">
        <v>46</v>
      </c>
      <c r="R6" s="66">
        <v>38</v>
      </c>
      <c r="S6" s="304">
        <v>3128481</v>
      </c>
      <c r="T6" s="297">
        <f>SUM(U6:V6)</f>
        <v>5049628</v>
      </c>
      <c r="U6" s="326">
        <v>5003884</v>
      </c>
      <c r="V6" s="326">
        <v>45744</v>
      </c>
      <c r="W6" s="303">
        <f>V6/T6</f>
        <v>9.0588851297560922E-3</v>
      </c>
    </row>
    <row r="7" spans="1:220" s="14" customFormat="1">
      <c r="A7" s="10">
        <v>2018</v>
      </c>
      <c r="B7" s="17">
        <v>10</v>
      </c>
      <c r="C7" s="17">
        <v>7.2</v>
      </c>
      <c r="D7" s="23">
        <f>SUM(B7:C7)</f>
        <v>17.2</v>
      </c>
      <c r="E7" s="82">
        <f>ROUND((O7/B7), 0)</f>
        <v>18</v>
      </c>
      <c r="F7" s="82">
        <f>ROUND((O7/D7), 0)</f>
        <v>10</v>
      </c>
      <c r="G7" s="17">
        <v>10</v>
      </c>
      <c r="H7" s="17">
        <v>7.2</v>
      </c>
      <c r="I7" s="17">
        <v>84</v>
      </c>
      <c r="J7" s="17">
        <v>24</v>
      </c>
      <c r="K7" s="23">
        <f t="shared" ref="K7" si="12">SUM(I7:J7)</f>
        <v>108</v>
      </c>
      <c r="L7" s="17">
        <v>12.9</v>
      </c>
      <c r="M7" s="82">
        <f>(I7+L7)</f>
        <v>96.9</v>
      </c>
      <c r="N7" s="17">
        <v>18</v>
      </c>
      <c r="O7" s="17">
        <v>177.16</v>
      </c>
      <c r="P7" s="133">
        <f>M7/O7</f>
        <v>0.54696319710995711</v>
      </c>
      <c r="Q7" s="17">
        <v>71</v>
      </c>
      <c r="R7" s="17">
        <v>21</v>
      </c>
      <c r="S7" s="20">
        <v>2803726</v>
      </c>
      <c r="T7" s="24">
        <f>SUM(U7:V7)</f>
        <v>4454900</v>
      </c>
      <c r="U7" s="20">
        <v>4416810</v>
      </c>
      <c r="V7" s="20">
        <v>38090</v>
      </c>
      <c r="W7" s="135">
        <f>V7/T7</f>
        <v>8.5501358055175194E-3</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10</v>
      </c>
      <c r="C8" s="17">
        <v>7</v>
      </c>
      <c r="D8" s="27">
        <f>SUM(B8:C8)</f>
        <v>17</v>
      </c>
      <c r="E8" s="27">
        <f>ROUND((O8/B8), 0)</f>
        <v>17</v>
      </c>
      <c r="F8" s="27">
        <f>ROUND((O8/D8), 0)</f>
        <v>10</v>
      </c>
      <c r="G8" s="17">
        <v>9</v>
      </c>
      <c r="H8" s="17">
        <v>7</v>
      </c>
      <c r="I8" s="17">
        <v>77</v>
      </c>
      <c r="J8" s="17">
        <v>58</v>
      </c>
      <c r="K8" s="27">
        <f>SUM(I8:J8)</f>
        <v>135</v>
      </c>
      <c r="L8" s="17">
        <v>33</v>
      </c>
      <c r="M8" s="29">
        <f>(I8+L8)</f>
        <v>110</v>
      </c>
      <c r="N8" s="255">
        <v>26</v>
      </c>
      <c r="O8" s="255">
        <v>174</v>
      </c>
      <c r="P8" s="133">
        <f t="shared" ref="P8:P23" si="13">M8/O8</f>
        <v>0.63218390804597702</v>
      </c>
      <c r="Q8" s="17">
        <v>63</v>
      </c>
      <c r="R8" s="17">
        <v>4</v>
      </c>
      <c r="S8" s="223">
        <v>2955719.32</v>
      </c>
      <c r="T8" s="28">
        <f>SUM(U8:V8)</f>
        <v>3748869.42</v>
      </c>
      <c r="U8" s="252">
        <v>3743869.42</v>
      </c>
      <c r="V8" s="20">
        <v>5000</v>
      </c>
      <c r="W8" s="135">
        <f t="shared" ref="W8:W23" si="14">V8/T8</f>
        <v>1.3337354385632349E-3</v>
      </c>
    </row>
    <row r="9" spans="1:220" s="72" customFormat="1">
      <c r="A9" s="105">
        <v>2016</v>
      </c>
      <c r="B9" s="54">
        <v>10</v>
      </c>
      <c r="C9" s="54">
        <v>5</v>
      </c>
      <c r="D9" s="65">
        <f>B9+C9</f>
        <v>15</v>
      </c>
      <c r="E9" s="13">
        <f>ROUND((O9/B9), 0)</f>
        <v>15</v>
      </c>
      <c r="F9" s="13">
        <f>ROUND((O9/D9), 0)</f>
        <v>10</v>
      </c>
      <c r="G9" s="54">
        <v>9</v>
      </c>
      <c r="H9" s="54">
        <v>5</v>
      </c>
      <c r="I9" s="54">
        <v>82</v>
      </c>
      <c r="J9" s="54">
        <v>61</v>
      </c>
      <c r="K9" s="65">
        <f>I9+J9</f>
        <v>143</v>
      </c>
      <c r="L9" s="54">
        <v>37</v>
      </c>
      <c r="M9" s="13">
        <f>I9+L9</f>
        <v>119</v>
      </c>
      <c r="N9" s="54">
        <v>35</v>
      </c>
      <c r="O9" s="54">
        <v>150</v>
      </c>
      <c r="P9" s="133">
        <f t="shared" si="13"/>
        <v>0.79333333333333333</v>
      </c>
      <c r="Q9" s="54">
        <v>74</v>
      </c>
      <c r="R9" s="54">
        <v>0</v>
      </c>
      <c r="S9" s="55">
        <v>3336412</v>
      </c>
      <c r="T9" s="68">
        <f>SUM(U9:V9)</f>
        <v>3336412</v>
      </c>
      <c r="U9" s="55">
        <v>3336412</v>
      </c>
      <c r="V9" s="55">
        <v>0</v>
      </c>
      <c r="W9" s="135">
        <f t="shared" si="14"/>
        <v>0</v>
      </c>
    </row>
    <row r="10" spans="1:220">
      <c r="A10" s="206">
        <v>2015</v>
      </c>
      <c r="B10" s="122">
        <v>8</v>
      </c>
      <c r="C10" s="122">
        <v>10</v>
      </c>
      <c r="D10" s="119">
        <v>18</v>
      </c>
      <c r="E10" s="119">
        <v>18.5</v>
      </c>
      <c r="F10" s="119">
        <v>8.1999999999999993</v>
      </c>
      <c r="G10" s="83"/>
      <c r="H10" s="83"/>
      <c r="I10" s="122">
        <v>93</v>
      </c>
      <c r="J10" s="122">
        <v>72</v>
      </c>
      <c r="K10" s="119">
        <v>165</v>
      </c>
      <c r="L10" s="122">
        <v>48</v>
      </c>
      <c r="M10" s="119">
        <v>141.19999999999999</v>
      </c>
      <c r="N10" s="122">
        <v>39</v>
      </c>
      <c r="O10" s="122">
        <v>148.1</v>
      </c>
      <c r="P10" s="133">
        <f t="shared" si="13"/>
        <v>0.95340985820391622</v>
      </c>
      <c r="Q10" s="122">
        <v>104</v>
      </c>
      <c r="R10" s="122">
        <v>1</v>
      </c>
      <c r="S10" s="172">
        <v>3227743</v>
      </c>
      <c r="T10" s="170">
        <f>SUM(U10:V10)</f>
        <v>3227431</v>
      </c>
      <c r="U10" s="172">
        <v>3137856</v>
      </c>
      <c r="V10" s="172">
        <v>89575</v>
      </c>
      <c r="W10" s="135">
        <f t="shared" si="14"/>
        <v>2.775427267074029E-2</v>
      </c>
    </row>
    <row r="11" spans="1:220">
      <c r="A11" s="206">
        <v>2014</v>
      </c>
      <c r="B11" s="122">
        <v>10</v>
      </c>
      <c r="C11" s="122">
        <v>16</v>
      </c>
      <c r="D11" s="119">
        <v>26</v>
      </c>
      <c r="E11" s="119">
        <v>18.8</v>
      </c>
      <c r="F11" s="119">
        <v>7.2</v>
      </c>
      <c r="G11" s="83"/>
      <c r="H11" s="83"/>
      <c r="I11" s="122">
        <v>124</v>
      </c>
      <c r="J11" s="122">
        <v>91</v>
      </c>
      <c r="K11" s="119">
        <v>215</v>
      </c>
      <c r="L11" s="122">
        <v>61</v>
      </c>
      <c r="M11" s="119">
        <v>184.97</v>
      </c>
      <c r="N11" s="122">
        <v>36</v>
      </c>
      <c r="O11" s="122">
        <v>188.32</v>
      </c>
      <c r="P11" s="133">
        <f t="shared" si="13"/>
        <v>0.98221112999150384</v>
      </c>
      <c r="Q11" s="122">
        <v>112</v>
      </c>
      <c r="R11" s="122">
        <v>1</v>
      </c>
      <c r="S11" s="172">
        <v>3136638</v>
      </c>
      <c r="T11" s="170">
        <v>3096911</v>
      </c>
      <c r="U11" s="172">
        <v>2785124</v>
      </c>
      <c r="V11" s="172">
        <v>311787</v>
      </c>
      <c r="W11" s="135">
        <f t="shared" si="14"/>
        <v>0.10067677114389144</v>
      </c>
    </row>
    <row r="12" spans="1:220">
      <c r="A12" s="15">
        <v>2013</v>
      </c>
      <c r="B12" s="528">
        <v>10</v>
      </c>
      <c r="C12" s="528">
        <v>17</v>
      </c>
      <c r="D12" s="23">
        <f>B12+C12</f>
        <v>27</v>
      </c>
      <c r="E12" s="82">
        <f t="shared" ref="E12:E23" si="15">ROUND((O12/B12), 0)</f>
        <v>29</v>
      </c>
      <c r="F12" s="82">
        <f t="shared" ref="F12:F23" si="16">ROUND((O12/D12), 0)</f>
        <v>11</v>
      </c>
      <c r="G12" s="85"/>
      <c r="H12" s="85"/>
      <c r="I12" s="528">
        <v>246</v>
      </c>
      <c r="J12" s="528">
        <v>96</v>
      </c>
      <c r="K12" s="23">
        <f>I12+J12</f>
        <v>342</v>
      </c>
      <c r="L12" s="528">
        <v>64</v>
      </c>
      <c r="M12" s="82">
        <f>I12+L12</f>
        <v>310</v>
      </c>
      <c r="N12" s="528">
        <v>10</v>
      </c>
      <c r="O12" s="528">
        <v>287</v>
      </c>
      <c r="P12" s="133">
        <f t="shared" si="13"/>
        <v>1.0801393728222997</v>
      </c>
      <c r="Q12" s="528">
        <v>34</v>
      </c>
      <c r="R12" s="528">
        <v>2</v>
      </c>
      <c r="S12" s="84">
        <v>3136169</v>
      </c>
      <c r="T12" s="24">
        <f t="shared" ref="T12:T23" si="17">SUM(U12:V12)</f>
        <v>3333753</v>
      </c>
      <c r="U12" s="84">
        <v>2926176</v>
      </c>
      <c r="V12" s="84">
        <v>407577</v>
      </c>
      <c r="W12" s="135">
        <f t="shared" si="14"/>
        <v>0.1222577077545937</v>
      </c>
    </row>
    <row r="13" spans="1:220">
      <c r="A13" s="15">
        <v>2012</v>
      </c>
      <c r="B13" s="528">
        <v>10</v>
      </c>
      <c r="C13" s="528">
        <v>13</v>
      </c>
      <c r="D13" s="23">
        <f>B13+C13</f>
        <v>23</v>
      </c>
      <c r="E13" s="82">
        <f t="shared" si="15"/>
        <v>25</v>
      </c>
      <c r="F13" s="82">
        <f t="shared" si="16"/>
        <v>11</v>
      </c>
      <c r="G13" s="85"/>
      <c r="H13" s="85"/>
      <c r="I13" s="528">
        <v>168</v>
      </c>
      <c r="J13" s="528">
        <v>119</v>
      </c>
      <c r="K13" s="23">
        <f>I13+J13</f>
        <v>287</v>
      </c>
      <c r="L13" s="528">
        <v>79.73</v>
      </c>
      <c r="M13" s="82">
        <f>I13+L13</f>
        <v>247.73000000000002</v>
      </c>
      <c r="N13" s="528">
        <v>41</v>
      </c>
      <c r="O13" s="528">
        <v>250.41</v>
      </c>
      <c r="P13" s="133">
        <f t="shared" si="13"/>
        <v>0.98929755201469594</v>
      </c>
      <c r="Q13" s="528">
        <v>145</v>
      </c>
      <c r="R13" s="528">
        <v>3</v>
      </c>
      <c r="S13" s="84">
        <v>2900149</v>
      </c>
      <c r="T13" s="24">
        <f t="shared" si="17"/>
        <v>3260288</v>
      </c>
      <c r="U13" s="84">
        <v>2339040</v>
      </c>
      <c r="V13" s="84">
        <v>921248</v>
      </c>
      <c r="W13" s="135">
        <f t="shared" si="14"/>
        <v>0.28256644811746695</v>
      </c>
    </row>
    <row r="14" spans="1:220">
      <c r="A14" s="15" t="s">
        <v>26</v>
      </c>
      <c r="B14" s="528">
        <v>10</v>
      </c>
      <c r="C14" s="528">
        <v>19</v>
      </c>
      <c r="D14" s="23">
        <f t="shared" ref="D14:D23" si="18">SUM(B14:C14)</f>
        <v>29</v>
      </c>
      <c r="E14" s="82">
        <f t="shared" si="15"/>
        <v>27</v>
      </c>
      <c r="F14" s="82">
        <f t="shared" si="16"/>
        <v>9</v>
      </c>
      <c r="G14" s="85"/>
      <c r="H14" s="85"/>
      <c r="I14" s="528">
        <v>128</v>
      </c>
      <c r="J14" s="528">
        <v>202</v>
      </c>
      <c r="K14" s="23">
        <f t="shared" ref="K14:K23" si="19">SUM(I14:J14)</f>
        <v>330</v>
      </c>
      <c r="L14" s="528">
        <v>134</v>
      </c>
      <c r="M14" s="82">
        <f t="shared" ref="M14:M23" si="20">(I14+L14)</f>
        <v>262</v>
      </c>
      <c r="N14" s="528">
        <v>50</v>
      </c>
      <c r="O14" s="528">
        <v>265</v>
      </c>
      <c r="P14" s="133">
        <f t="shared" si="13"/>
        <v>0.98867924528301887</v>
      </c>
      <c r="Q14" s="528">
        <v>150</v>
      </c>
      <c r="R14" s="528">
        <v>1</v>
      </c>
      <c r="S14" s="84">
        <v>2987414</v>
      </c>
      <c r="T14" s="24">
        <f t="shared" si="17"/>
        <v>2976614</v>
      </c>
      <c r="U14" s="84">
        <v>2461694</v>
      </c>
      <c r="V14" s="84">
        <v>514920</v>
      </c>
      <c r="W14" s="135">
        <f t="shared" si="14"/>
        <v>0.17298850304406282</v>
      </c>
    </row>
    <row r="15" spans="1:220">
      <c r="A15" s="15" t="s">
        <v>27</v>
      </c>
      <c r="B15" s="528">
        <v>9</v>
      </c>
      <c r="C15" s="528">
        <v>9</v>
      </c>
      <c r="D15" s="23">
        <f t="shared" si="18"/>
        <v>18</v>
      </c>
      <c r="E15" s="82">
        <f t="shared" si="15"/>
        <v>32</v>
      </c>
      <c r="F15" s="82">
        <f t="shared" si="16"/>
        <v>16</v>
      </c>
      <c r="G15" s="85"/>
      <c r="H15" s="85"/>
      <c r="I15" s="528">
        <v>172</v>
      </c>
      <c r="J15" s="528">
        <v>171</v>
      </c>
      <c r="K15" s="23">
        <f t="shared" si="19"/>
        <v>343</v>
      </c>
      <c r="L15" s="528">
        <v>114</v>
      </c>
      <c r="M15" s="82">
        <f t="shared" si="20"/>
        <v>286</v>
      </c>
      <c r="N15" s="528">
        <v>43</v>
      </c>
      <c r="O15" s="528">
        <v>289</v>
      </c>
      <c r="P15" s="133">
        <f t="shared" si="13"/>
        <v>0.98961937716262971</v>
      </c>
      <c r="Q15" s="528">
        <v>151</v>
      </c>
      <c r="R15" s="528">
        <v>2</v>
      </c>
      <c r="S15" s="84">
        <v>2814209</v>
      </c>
      <c r="T15" s="24">
        <f t="shared" si="17"/>
        <v>2814209</v>
      </c>
      <c r="U15" s="84">
        <v>2490634</v>
      </c>
      <c r="V15" s="84">
        <v>323575</v>
      </c>
      <c r="W15" s="135">
        <f t="shared" si="14"/>
        <v>0.11497902252462415</v>
      </c>
    </row>
    <row r="16" spans="1:220">
      <c r="A16" s="15" t="s">
        <v>28</v>
      </c>
      <c r="B16" s="528">
        <v>9</v>
      </c>
      <c r="C16" s="528">
        <v>10</v>
      </c>
      <c r="D16" s="23">
        <f t="shared" si="18"/>
        <v>19</v>
      </c>
      <c r="E16" s="82">
        <f t="shared" si="15"/>
        <v>32</v>
      </c>
      <c r="F16" s="82">
        <f t="shared" si="16"/>
        <v>15</v>
      </c>
      <c r="G16" s="85"/>
      <c r="H16" s="85"/>
      <c r="I16" s="528">
        <v>156</v>
      </c>
      <c r="J16" s="528">
        <v>186</v>
      </c>
      <c r="K16" s="23">
        <f t="shared" si="19"/>
        <v>342</v>
      </c>
      <c r="L16" s="528">
        <v>124</v>
      </c>
      <c r="M16" s="82">
        <f t="shared" si="20"/>
        <v>280</v>
      </c>
      <c r="N16" s="528">
        <v>57</v>
      </c>
      <c r="O16" s="528">
        <v>284</v>
      </c>
      <c r="P16" s="133">
        <f t="shared" si="13"/>
        <v>0.9859154929577465</v>
      </c>
      <c r="Q16" s="528">
        <v>157</v>
      </c>
      <c r="R16" s="528">
        <v>1</v>
      </c>
      <c r="S16" s="84">
        <v>2558684</v>
      </c>
      <c r="T16" s="24">
        <f t="shared" si="17"/>
        <v>2558684</v>
      </c>
      <c r="U16" s="84">
        <v>1976998</v>
      </c>
      <c r="V16" s="84">
        <v>581686</v>
      </c>
      <c r="W16" s="135">
        <f t="shared" si="14"/>
        <v>0.22733795966989281</v>
      </c>
    </row>
    <row r="17" spans="1:23">
      <c r="A17" s="15" t="s">
        <v>29</v>
      </c>
      <c r="B17" s="528">
        <v>9</v>
      </c>
      <c r="C17" s="528">
        <v>12</v>
      </c>
      <c r="D17" s="23">
        <f t="shared" si="18"/>
        <v>21</v>
      </c>
      <c r="E17" s="82">
        <f t="shared" si="15"/>
        <v>42</v>
      </c>
      <c r="F17" s="82">
        <f t="shared" si="16"/>
        <v>18</v>
      </c>
      <c r="G17" s="85"/>
      <c r="H17" s="85"/>
      <c r="I17" s="528">
        <v>315</v>
      </c>
      <c r="J17" s="528">
        <v>93</v>
      </c>
      <c r="K17" s="23">
        <f t="shared" si="19"/>
        <v>408</v>
      </c>
      <c r="L17" s="528">
        <v>62</v>
      </c>
      <c r="M17" s="82">
        <f t="shared" si="20"/>
        <v>377</v>
      </c>
      <c r="N17" s="528">
        <v>73</v>
      </c>
      <c r="O17" s="528">
        <v>381</v>
      </c>
      <c r="P17" s="133">
        <f t="shared" si="13"/>
        <v>0.98950131233595795</v>
      </c>
      <c r="Q17" s="528">
        <v>149</v>
      </c>
      <c r="R17" s="528">
        <v>0</v>
      </c>
      <c r="S17" s="84">
        <v>2126448</v>
      </c>
      <c r="T17" s="24">
        <f t="shared" si="17"/>
        <v>2326448</v>
      </c>
      <c r="U17" s="84">
        <v>2126448</v>
      </c>
      <c r="V17" s="84">
        <v>200000</v>
      </c>
      <c r="W17" s="135">
        <f t="shared" si="14"/>
        <v>8.5967964897560575E-2</v>
      </c>
    </row>
    <row r="18" spans="1:23">
      <c r="A18" s="15">
        <v>2007</v>
      </c>
      <c r="B18" s="528">
        <v>7</v>
      </c>
      <c r="C18" s="528">
        <v>12.33</v>
      </c>
      <c r="D18" s="23">
        <f t="shared" si="18"/>
        <v>19.329999999999998</v>
      </c>
      <c r="E18" s="82">
        <f t="shared" si="15"/>
        <v>43</v>
      </c>
      <c r="F18" s="82">
        <f t="shared" si="16"/>
        <v>15</v>
      </c>
      <c r="G18" s="85"/>
      <c r="H18" s="85"/>
      <c r="I18" s="528">
        <v>130</v>
      </c>
      <c r="J18" s="528">
        <v>252</v>
      </c>
      <c r="K18" s="23">
        <f t="shared" si="19"/>
        <v>382</v>
      </c>
      <c r="L18" s="528">
        <v>169</v>
      </c>
      <c r="M18" s="82">
        <f t="shared" si="20"/>
        <v>299</v>
      </c>
      <c r="N18" s="528">
        <v>67</v>
      </c>
      <c r="O18" s="528">
        <v>299</v>
      </c>
      <c r="P18" s="133">
        <f t="shared" si="13"/>
        <v>1</v>
      </c>
      <c r="Q18" s="528">
        <v>142</v>
      </c>
      <c r="R18" s="528">
        <v>0</v>
      </c>
      <c r="S18" s="148">
        <v>2053418</v>
      </c>
      <c r="T18" s="203">
        <f t="shared" si="17"/>
        <v>2196418</v>
      </c>
      <c r="U18" s="132">
        <v>2053418</v>
      </c>
      <c r="V18" s="148">
        <v>143000</v>
      </c>
      <c r="W18" s="135">
        <f t="shared" si="14"/>
        <v>6.5106004412639126E-2</v>
      </c>
    </row>
    <row r="19" spans="1:23">
      <c r="A19" s="15">
        <v>2006</v>
      </c>
      <c r="B19" s="528">
        <v>8</v>
      </c>
      <c r="C19" s="528">
        <v>10</v>
      </c>
      <c r="D19" s="23">
        <f t="shared" si="18"/>
        <v>18</v>
      </c>
      <c r="E19" s="82">
        <f t="shared" si="15"/>
        <v>36</v>
      </c>
      <c r="F19" s="82">
        <f t="shared" si="16"/>
        <v>16</v>
      </c>
      <c r="G19" s="85"/>
      <c r="H19" s="85"/>
      <c r="I19" s="528">
        <v>135</v>
      </c>
      <c r="J19" s="528">
        <v>228</v>
      </c>
      <c r="K19" s="23">
        <f t="shared" si="19"/>
        <v>363</v>
      </c>
      <c r="L19" s="528">
        <v>153</v>
      </c>
      <c r="M19" s="82">
        <f t="shared" si="20"/>
        <v>288</v>
      </c>
      <c r="N19" s="528">
        <v>79</v>
      </c>
      <c r="O19" s="528">
        <v>288</v>
      </c>
      <c r="P19" s="133">
        <f t="shared" si="13"/>
        <v>1</v>
      </c>
      <c r="Q19" s="528">
        <v>102</v>
      </c>
      <c r="R19" s="528">
        <v>0</v>
      </c>
      <c r="S19" s="204">
        <v>1640122.73</v>
      </c>
      <c r="T19" s="205">
        <f t="shared" si="17"/>
        <v>1639460</v>
      </c>
      <c r="U19" s="204">
        <v>1442295</v>
      </c>
      <c r="V19" s="204">
        <v>197165</v>
      </c>
      <c r="W19" s="135">
        <f t="shared" si="14"/>
        <v>0.1202621594915399</v>
      </c>
    </row>
    <row r="20" spans="1:23">
      <c r="A20" s="15">
        <v>2005</v>
      </c>
      <c r="B20" s="528">
        <v>8</v>
      </c>
      <c r="C20" s="528">
        <v>8</v>
      </c>
      <c r="D20" s="23">
        <f t="shared" si="18"/>
        <v>16</v>
      </c>
      <c r="E20" s="82">
        <f t="shared" si="15"/>
        <v>18</v>
      </c>
      <c r="F20" s="82">
        <f t="shared" si="16"/>
        <v>9</v>
      </c>
      <c r="G20" s="85"/>
      <c r="H20" s="85"/>
      <c r="I20" s="528">
        <v>74</v>
      </c>
      <c r="J20" s="528">
        <v>191</v>
      </c>
      <c r="K20" s="23">
        <f t="shared" si="19"/>
        <v>265</v>
      </c>
      <c r="L20" s="528">
        <v>64</v>
      </c>
      <c r="M20" s="82">
        <f t="shared" si="20"/>
        <v>138</v>
      </c>
      <c r="N20" s="528">
        <v>67</v>
      </c>
      <c r="O20" s="528">
        <v>141</v>
      </c>
      <c r="P20" s="133">
        <f t="shared" si="13"/>
        <v>0.97872340425531912</v>
      </c>
      <c r="Q20" s="528">
        <v>116</v>
      </c>
      <c r="R20" s="528">
        <v>0</v>
      </c>
      <c r="S20" s="204">
        <v>1337729.1000000001</v>
      </c>
      <c r="T20" s="205">
        <f t="shared" si="17"/>
        <v>1337729.1000000001</v>
      </c>
      <c r="U20" s="204">
        <v>1337729.1000000001</v>
      </c>
      <c r="V20" s="204">
        <v>0</v>
      </c>
      <c r="W20" s="135">
        <f t="shared" si="14"/>
        <v>0</v>
      </c>
    </row>
    <row r="21" spans="1:23">
      <c r="A21" s="15">
        <v>2004</v>
      </c>
      <c r="B21" s="528">
        <v>7</v>
      </c>
      <c r="C21" s="528">
        <v>7</v>
      </c>
      <c r="D21" s="23">
        <f t="shared" si="18"/>
        <v>14</v>
      </c>
      <c r="E21" s="82">
        <f t="shared" si="15"/>
        <v>18</v>
      </c>
      <c r="F21" s="82">
        <f t="shared" si="16"/>
        <v>9</v>
      </c>
      <c r="G21" s="85"/>
      <c r="H21" s="85"/>
      <c r="I21" s="528">
        <v>61</v>
      </c>
      <c r="J21" s="528">
        <v>179</v>
      </c>
      <c r="K21" s="23">
        <f t="shared" si="19"/>
        <v>240</v>
      </c>
      <c r="L21" s="528">
        <v>60</v>
      </c>
      <c r="M21" s="82">
        <f t="shared" si="20"/>
        <v>121</v>
      </c>
      <c r="N21" s="528">
        <v>49</v>
      </c>
      <c r="O21" s="528">
        <v>124</v>
      </c>
      <c r="P21" s="133">
        <f t="shared" si="13"/>
        <v>0.97580645161290325</v>
      </c>
      <c r="Q21" s="528">
        <v>90</v>
      </c>
      <c r="R21" s="528">
        <v>0</v>
      </c>
      <c r="S21" s="132">
        <v>1361699</v>
      </c>
      <c r="T21" s="24">
        <f t="shared" si="17"/>
        <v>1361699</v>
      </c>
      <c r="U21" s="132">
        <v>1339815</v>
      </c>
      <c r="V21" s="132">
        <v>21884</v>
      </c>
      <c r="W21" s="135">
        <f t="shared" si="14"/>
        <v>1.6071099413306464E-2</v>
      </c>
    </row>
    <row r="22" spans="1:23">
      <c r="A22" s="15">
        <v>2003</v>
      </c>
      <c r="B22" s="528">
        <v>9</v>
      </c>
      <c r="C22" s="528">
        <v>7</v>
      </c>
      <c r="D22" s="23">
        <f t="shared" si="18"/>
        <v>16</v>
      </c>
      <c r="E22" s="82">
        <f t="shared" si="15"/>
        <v>13</v>
      </c>
      <c r="F22" s="82">
        <f t="shared" si="16"/>
        <v>7</v>
      </c>
      <c r="G22" s="85"/>
      <c r="H22" s="85"/>
      <c r="I22" s="528">
        <v>54</v>
      </c>
      <c r="J22" s="528">
        <v>195</v>
      </c>
      <c r="K22" s="23">
        <f t="shared" si="19"/>
        <v>249</v>
      </c>
      <c r="L22" s="528">
        <v>65</v>
      </c>
      <c r="M22" s="82">
        <f t="shared" si="20"/>
        <v>119</v>
      </c>
      <c r="N22" s="528">
        <v>55</v>
      </c>
      <c r="O22" s="528">
        <v>119</v>
      </c>
      <c r="P22" s="133">
        <f t="shared" si="13"/>
        <v>1</v>
      </c>
      <c r="Q22" s="528">
        <v>91</v>
      </c>
      <c r="R22" s="528">
        <v>0</v>
      </c>
      <c r="S22" s="132">
        <v>1476666</v>
      </c>
      <c r="T22" s="24">
        <f t="shared" si="17"/>
        <v>1476670</v>
      </c>
      <c r="U22" s="132">
        <v>1456370</v>
      </c>
      <c r="V22" s="132">
        <v>20300</v>
      </c>
      <c r="W22" s="135">
        <f t="shared" si="14"/>
        <v>1.3747147297635896E-2</v>
      </c>
    </row>
    <row r="23" spans="1:23" ht="16.5" customHeight="1">
      <c r="A23" s="15">
        <v>2002</v>
      </c>
      <c r="B23" s="528">
        <v>9</v>
      </c>
      <c r="C23" s="528">
        <f>ROUND(5.7, 0)</f>
        <v>6</v>
      </c>
      <c r="D23" s="23">
        <f t="shared" si="18"/>
        <v>15</v>
      </c>
      <c r="E23" s="82">
        <f t="shared" si="15"/>
        <v>13</v>
      </c>
      <c r="F23" s="82">
        <f t="shared" si="16"/>
        <v>8</v>
      </c>
      <c r="G23" s="85"/>
      <c r="H23" s="85"/>
      <c r="I23" s="528">
        <v>45</v>
      </c>
      <c r="J23" s="528">
        <v>206</v>
      </c>
      <c r="K23" s="23">
        <f t="shared" si="19"/>
        <v>251</v>
      </c>
      <c r="L23" s="528">
        <v>69</v>
      </c>
      <c r="M23" s="82">
        <f t="shared" si="20"/>
        <v>114</v>
      </c>
      <c r="N23" s="528">
        <v>71</v>
      </c>
      <c r="O23" s="528">
        <v>114</v>
      </c>
      <c r="P23" s="133">
        <f t="shared" si="13"/>
        <v>1</v>
      </c>
      <c r="Q23" s="528">
        <v>90</v>
      </c>
      <c r="R23" s="528">
        <v>0</v>
      </c>
      <c r="S23" s="132">
        <v>1327737</v>
      </c>
      <c r="T23" s="24">
        <f t="shared" si="17"/>
        <v>1327737</v>
      </c>
      <c r="U23" s="132">
        <v>1316226</v>
      </c>
      <c r="V23" s="132">
        <v>11511</v>
      </c>
      <c r="W23" s="135">
        <f t="shared" si="14"/>
        <v>8.6696386407850348E-3</v>
      </c>
    </row>
    <row r="24" spans="1:23" s="12" customFormat="1">
      <c r="A24" s="563" t="s">
        <v>169</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3" s="12" customFormat="1">
      <c r="A25" s="581" t="s">
        <v>170</v>
      </c>
      <c r="B25" s="579"/>
      <c r="C25" s="579"/>
      <c r="D25" s="579"/>
      <c r="E25" s="579"/>
      <c r="F25" s="579"/>
      <c r="G25" s="579"/>
      <c r="H25" s="579"/>
      <c r="I25" s="579"/>
      <c r="J25" s="579"/>
      <c r="K25" s="579"/>
      <c r="L25" s="579"/>
      <c r="M25" s="579"/>
      <c r="N25" s="579"/>
      <c r="O25" s="579"/>
      <c r="P25" s="579"/>
      <c r="Q25" s="579"/>
      <c r="R25" s="579"/>
      <c r="S25" s="579"/>
      <c r="T25" s="579"/>
      <c r="U25" s="579"/>
      <c r="V25" s="579"/>
      <c r="W25" s="580"/>
    </row>
    <row r="26" spans="1:23" s="12" customFormat="1">
      <c r="G26"/>
      <c r="H26"/>
    </row>
    <row r="27" spans="1:23" s="12" customFormat="1">
      <c r="G27"/>
      <c r="H27"/>
    </row>
    <row r="28" spans="1:23" s="12" customFormat="1">
      <c r="G28"/>
      <c r="H28"/>
    </row>
    <row r="29" spans="1:23" s="12" customFormat="1">
      <c r="G29"/>
      <c r="H29"/>
    </row>
    <row r="30" spans="1:23" s="12" customFormat="1">
      <c r="G30"/>
      <c r="H30"/>
    </row>
    <row r="31" spans="1:23" s="12" customFormat="1">
      <c r="G31"/>
      <c r="H31"/>
    </row>
    <row r="32" spans="1:23" s="12" customFormat="1">
      <c r="G32"/>
      <c r="H32"/>
    </row>
    <row r="33" spans="7:8" s="12" customFormat="1">
      <c r="G33"/>
      <c r="H33"/>
    </row>
  </sheetData>
  <mergeCells count="2">
    <mergeCell ref="A24:W24"/>
    <mergeCell ref="A25:W25"/>
  </mergeCells>
  <printOptions headings="1" gridLines="1"/>
  <pageMargins left="0.5" right="0.5" top="0.5" bottom="0.5" header="0" footer="0"/>
  <pageSetup paperSize="5" scale="67" orientation="landscape"/>
  <legacyDrawing r:id="rId1"/>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HL78"/>
  <sheetViews>
    <sheetView workbookViewId="0">
      <selection activeCell="J6" sqref="J6"/>
    </sheetView>
  </sheetViews>
  <sheetFormatPr defaultColWidth="15.140625" defaultRowHeight="15"/>
  <cols>
    <col min="1" max="1" width="12.42578125" customWidth="1"/>
    <col min="2" max="2" width="8.85546875" customWidth="1"/>
    <col min="3" max="3" width="7.42578125" customWidth="1"/>
    <col min="4" max="4" width="8.140625" customWidth="1"/>
    <col min="5" max="5" width="11.42578125" customWidth="1"/>
    <col min="6" max="6" width="11.140625" customWidth="1"/>
    <col min="7" max="7" width="12" customWidth="1"/>
    <col min="8" max="8" width="12.140625" customWidth="1"/>
    <col min="9" max="9" width="9.7109375" customWidth="1"/>
    <col min="10" max="11" width="12" customWidth="1"/>
    <col min="12" max="12" width="10.7109375" customWidth="1"/>
    <col min="13" max="14" width="11.42578125" customWidth="1"/>
    <col min="15" max="15" width="13.140625" customWidth="1"/>
    <col min="16" max="16" width="14.42578125" customWidth="1"/>
    <col min="17" max="17" width="10.85546875" customWidth="1"/>
    <col min="18" max="18" width="9.42578125" customWidth="1"/>
    <col min="19" max="19" width="12.42578125" customWidth="1"/>
    <col min="20" max="20" width="11.28515625" customWidth="1"/>
    <col min="21" max="21" width="12.7109375" customWidth="1"/>
    <col min="22" max="22" width="11.42578125" customWidth="1"/>
    <col min="23" max="23" width="11.28515625" customWidth="1"/>
    <col min="24" max="26" width="7.7109375" customWidth="1"/>
  </cols>
  <sheetData>
    <row r="1" spans="1:220" ht="18.75" customHeight="1">
      <c r="A1" s="32" t="s">
        <v>171</v>
      </c>
      <c r="B1" s="33"/>
      <c r="C1" s="32"/>
      <c r="D1" s="32"/>
      <c r="E1" s="32"/>
      <c r="F1" s="32"/>
      <c r="G1" s="32"/>
      <c r="H1" s="32"/>
      <c r="I1" s="32"/>
      <c r="J1" s="32"/>
      <c r="K1" s="32"/>
      <c r="L1" s="32"/>
      <c r="M1" s="32"/>
      <c r="N1" s="32"/>
      <c r="O1" s="32"/>
      <c r="P1" s="32"/>
      <c r="Q1" s="32"/>
      <c r="R1" s="32"/>
      <c r="S1" s="32"/>
      <c r="T1" s="32"/>
      <c r="U1" s="32"/>
      <c r="V1" s="32"/>
      <c r="W1" s="32"/>
      <c r="X1" s="34"/>
      <c r="Y1" s="34"/>
      <c r="Z1" s="34"/>
    </row>
    <row r="2" spans="1:220" ht="60" customHeight="1">
      <c r="A2" s="35" t="s">
        <v>4</v>
      </c>
      <c r="B2" s="35" t="s">
        <v>5</v>
      </c>
      <c r="C2" s="35" t="s">
        <v>6</v>
      </c>
      <c r="D2" s="35" t="s">
        <v>7</v>
      </c>
      <c r="E2" s="5" t="s">
        <v>8</v>
      </c>
      <c r="F2" s="35" t="s">
        <v>9</v>
      </c>
      <c r="G2" s="35" t="s">
        <v>10</v>
      </c>
      <c r="H2" s="35" t="s">
        <v>11</v>
      </c>
      <c r="I2" s="35" t="s">
        <v>12</v>
      </c>
      <c r="J2" s="35" t="s">
        <v>13</v>
      </c>
      <c r="K2" s="35" t="s">
        <v>1</v>
      </c>
      <c r="L2" s="35" t="s">
        <v>14</v>
      </c>
      <c r="M2" s="35" t="s">
        <v>15</v>
      </c>
      <c r="N2" s="35" t="s">
        <v>16</v>
      </c>
      <c r="O2" s="35" t="s">
        <v>17</v>
      </c>
      <c r="P2" s="35" t="s">
        <v>18</v>
      </c>
      <c r="Q2" s="35" t="s">
        <v>2</v>
      </c>
      <c r="R2" s="35" t="s">
        <v>19</v>
      </c>
      <c r="S2" s="35" t="s">
        <v>20</v>
      </c>
      <c r="T2" s="35" t="s">
        <v>21</v>
      </c>
      <c r="U2" s="35" t="s">
        <v>22</v>
      </c>
      <c r="V2" s="35" t="s">
        <v>23</v>
      </c>
      <c r="W2" s="35" t="s">
        <v>24</v>
      </c>
      <c r="X2" s="36"/>
      <c r="Y2" s="36"/>
      <c r="Z2" s="36"/>
    </row>
    <row r="3" spans="1:220" s="16" customFormat="1" ht="15" customHeight="1">
      <c r="A3" s="491">
        <v>2022</v>
      </c>
      <c r="B3" s="492">
        <v>6</v>
      </c>
      <c r="C3" s="492">
        <v>0</v>
      </c>
      <c r="D3" s="27">
        <f t="shared" ref="D3" si="0">SUM(B3:C3)</f>
        <v>6</v>
      </c>
      <c r="E3" s="82">
        <f t="shared" ref="E3" si="1">ROUND((O3/B3), 0)</f>
        <v>15</v>
      </c>
      <c r="F3" s="82">
        <f t="shared" ref="F3" si="2">ROUND((O3/D3), 0)</f>
        <v>15</v>
      </c>
      <c r="G3" s="492">
        <v>6</v>
      </c>
      <c r="H3" s="492">
        <v>0</v>
      </c>
      <c r="I3" s="492">
        <v>71</v>
      </c>
      <c r="J3" s="492">
        <v>9</v>
      </c>
      <c r="K3" s="23">
        <f t="shared" ref="K3" si="3">SUM(I3:J3)</f>
        <v>80</v>
      </c>
      <c r="L3" s="492">
        <v>9</v>
      </c>
      <c r="M3" s="82">
        <f>(I3+L3)</f>
        <v>80</v>
      </c>
      <c r="N3" s="492">
        <v>75</v>
      </c>
      <c r="O3" s="492">
        <v>91</v>
      </c>
      <c r="P3" s="133">
        <f>M3/O3</f>
        <v>0.87912087912087911</v>
      </c>
      <c r="Q3" s="492">
        <v>28</v>
      </c>
      <c r="R3" s="492">
        <v>4</v>
      </c>
      <c r="S3" s="20">
        <v>645771</v>
      </c>
      <c r="T3" s="24">
        <f>SUM(U3:V3)</f>
        <v>745771</v>
      </c>
      <c r="U3" s="493">
        <v>645771</v>
      </c>
      <c r="V3" s="42">
        <v>100000</v>
      </c>
      <c r="W3" s="494">
        <f>V4/T4</f>
        <v>0.12425879628018867</v>
      </c>
      <c r="X3" s="178"/>
      <c r="Y3" s="178"/>
      <c r="Z3" s="178"/>
    </row>
    <row r="4" spans="1:220" ht="15" customHeight="1">
      <c r="A4" s="491">
        <v>2021</v>
      </c>
      <c r="B4" s="401">
        <v>5</v>
      </c>
      <c r="C4" s="402">
        <v>4</v>
      </c>
      <c r="D4" s="403">
        <v>5</v>
      </c>
      <c r="E4" s="106">
        <v>5</v>
      </c>
      <c r="F4" s="404">
        <v>5</v>
      </c>
      <c r="G4" s="405">
        <v>5</v>
      </c>
      <c r="H4" s="405">
        <v>2</v>
      </c>
      <c r="I4" s="405">
        <v>46</v>
      </c>
      <c r="J4" s="405">
        <v>39</v>
      </c>
      <c r="K4" s="404">
        <v>85</v>
      </c>
      <c r="L4" s="405">
        <v>4.5</v>
      </c>
      <c r="M4" s="404">
        <v>50.5</v>
      </c>
      <c r="N4" s="405">
        <v>85</v>
      </c>
      <c r="O4" s="405">
        <v>94</v>
      </c>
      <c r="P4" s="404">
        <v>96.1</v>
      </c>
      <c r="Q4" s="405">
        <v>14</v>
      </c>
      <c r="R4" s="405">
        <v>11</v>
      </c>
      <c r="S4" s="406">
        <v>804772</v>
      </c>
      <c r="T4" s="407">
        <v>804772</v>
      </c>
      <c r="U4" s="408">
        <v>704772</v>
      </c>
      <c r="V4" s="409">
        <v>100000</v>
      </c>
      <c r="W4" s="410">
        <v>1.2E-4</v>
      </c>
      <c r="X4" s="36"/>
      <c r="Y4" s="36"/>
      <c r="Z4" s="36"/>
    </row>
    <row r="5" spans="1:220" ht="15" customHeight="1">
      <c r="A5" s="411">
        <v>2020</v>
      </c>
      <c r="B5" s="369">
        <v>5</v>
      </c>
      <c r="C5" s="369">
        <v>0</v>
      </c>
      <c r="D5" s="388">
        <v>5</v>
      </c>
      <c r="E5" s="106">
        <v>5</v>
      </c>
      <c r="F5" s="388">
        <v>6</v>
      </c>
      <c r="G5" s="369">
        <v>5</v>
      </c>
      <c r="H5" s="369">
        <v>5</v>
      </c>
      <c r="I5" s="369">
        <v>30</v>
      </c>
      <c r="J5" s="369">
        <v>16</v>
      </c>
      <c r="K5" s="388">
        <v>46</v>
      </c>
      <c r="L5" s="369">
        <v>22</v>
      </c>
      <c r="M5" s="388">
        <v>52</v>
      </c>
      <c r="N5" s="369">
        <v>46</v>
      </c>
      <c r="O5" s="369">
        <v>59</v>
      </c>
      <c r="P5" s="388">
        <v>60.38</v>
      </c>
      <c r="Q5" s="369">
        <v>13</v>
      </c>
      <c r="R5" s="369">
        <v>9</v>
      </c>
      <c r="S5" s="392" t="s">
        <v>172</v>
      </c>
      <c r="T5" s="388" t="s">
        <v>172</v>
      </c>
      <c r="U5" s="369" t="s">
        <v>172</v>
      </c>
      <c r="V5" s="369">
        <v>0</v>
      </c>
      <c r="W5" s="388">
        <v>0</v>
      </c>
      <c r="X5" s="36"/>
      <c r="Y5" s="36"/>
      <c r="Z5" s="36"/>
    </row>
    <row r="6" spans="1:220" s="63" customFormat="1">
      <c r="A6" s="400">
        <v>2019</v>
      </c>
      <c r="B6" s="63">
        <v>5</v>
      </c>
      <c r="C6" s="63">
        <v>0</v>
      </c>
      <c r="D6" s="389">
        <v>5</v>
      </c>
      <c r="E6" s="390">
        <v>6</v>
      </c>
      <c r="F6" s="390">
        <v>4</v>
      </c>
      <c r="G6" s="495">
        <v>6</v>
      </c>
      <c r="H6" s="169">
        <v>5</v>
      </c>
      <c r="I6" s="496">
        <v>25</v>
      </c>
      <c r="J6" s="496">
        <v>13</v>
      </c>
      <c r="K6" s="389">
        <v>38</v>
      </c>
      <c r="L6" s="63">
        <v>9</v>
      </c>
      <c r="M6" s="82">
        <f>(I6+L6)</f>
        <v>34</v>
      </c>
      <c r="N6" s="63">
        <v>55</v>
      </c>
      <c r="O6" s="63">
        <v>62</v>
      </c>
      <c r="P6" s="339">
        <f t="shared" ref="P6" si="4">M6/O6</f>
        <v>0.54838709677419351</v>
      </c>
      <c r="Q6" s="63">
        <v>20</v>
      </c>
      <c r="R6" s="63">
        <v>6</v>
      </c>
      <c r="S6" s="393">
        <v>1041303</v>
      </c>
      <c r="T6" s="391">
        <v>1041303</v>
      </c>
      <c r="U6" s="340">
        <v>1041303</v>
      </c>
      <c r="V6" s="63">
        <v>0</v>
      </c>
      <c r="W6" s="389">
        <f>V7/T7</f>
        <v>0</v>
      </c>
    </row>
    <row r="7" spans="1:220" s="14" customFormat="1">
      <c r="A7" s="10">
        <v>2018</v>
      </c>
      <c r="B7" s="17">
        <v>5</v>
      </c>
      <c r="C7" s="17">
        <v>4</v>
      </c>
      <c r="D7" s="23">
        <f>SUM(B7:C7)</f>
        <v>9</v>
      </c>
      <c r="E7" s="82">
        <f>ROUND((O7/B7), 0)</f>
        <v>12</v>
      </c>
      <c r="F7" s="82">
        <f>ROUND((O7/D7), 0)</f>
        <v>7</v>
      </c>
      <c r="G7" s="17">
        <v>5</v>
      </c>
      <c r="H7" s="17">
        <v>3</v>
      </c>
      <c r="I7" s="17">
        <v>28</v>
      </c>
      <c r="J7" s="17">
        <v>12</v>
      </c>
      <c r="K7" s="23">
        <f t="shared" ref="K7" si="5">SUM(I7:J7)</f>
        <v>40</v>
      </c>
      <c r="L7" s="17">
        <v>6.5</v>
      </c>
      <c r="M7" s="82">
        <f>(I7+L7)</f>
        <v>34.5</v>
      </c>
      <c r="N7" s="17">
        <v>40</v>
      </c>
      <c r="O7" s="17">
        <v>58.86</v>
      </c>
      <c r="P7" s="133">
        <f>M7/O7</f>
        <v>0.58613659531090723</v>
      </c>
      <c r="Q7" s="17">
        <v>27</v>
      </c>
      <c r="R7" s="17">
        <v>12</v>
      </c>
      <c r="S7" s="20">
        <v>1025120</v>
      </c>
      <c r="T7" s="24">
        <f>SUM(U7:V7)</f>
        <v>1025120</v>
      </c>
      <c r="U7" s="20">
        <v>1025120</v>
      </c>
      <c r="V7" s="20">
        <v>0</v>
      </c>
      <c r="W7" s="135">
        <f>V7/T7</f>
        <v>0</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211">
        <v>2017</v>
      </c>
      <c r="B8" s="17">
        <v>7</v>
      </c>
      <c r="C8" s="17">
        <v>2</v>
      </c>
      <c r="D8" s="27">
        <f>SUM(B8:C8)</f>
        <v>9</v>
      </c>
      <c r="E8" s="27">
        <f>ROUND((O8/B8), 0)</f>
        <v>9</v>
      </c>
      <c r="F8" s="27">
        <f>ROUND((O8/D8), 0)</f>
        <v>7</v>
      </c>
      <c r="G8" s="17">
        <v>7</v>
      </c>
      <c r="H8" s="17">
        <v>3</v>
      </c>
      <c r="I8" s="17">
        <v>33</v>
      </c>
      <c r="J8" s="17">
        <v>12</v>
      </c>
      <c r="K8" s="27">
        <f>SUM(I8:J8)</f>
        <v>45</v>
      </c>
      <c r="L8" s="17">
        <v>5.3</v>
      </c>
      <c r="M8" s="29">
        <f>(I8+L8)</f>
        <v>38.299999999999997</v>
      </c>
      <c r="N8" s="255">
        <v>45</v>
      </c>
      <c r="O8" s="255">
        <v>62</v>
      </c>
      <c r="P8" s="133">
        <f t="shared" ref="P8:P23" si="6">M8/O8</f>
        <v>0.61774193548387091</v>
      </c>
      <c r="Q8" s="17">
        <v>28</v>
      </c>
      <c r="R8" s="17">
        <v>8</v>
      </c>
      <c r="S8" s="223">
        <v>1022011</v>
      </c>
      <c r="T8" s="28">
        <f>SUM(U8:V8)</f>
        <v>1022011</v>
      </c>
      <c r="U8" s="252">
        <v>1022011</v>
      </c>
      <c r="V8" s="20">
        <v>0</v>
      </c>
      <c r="W8" s="135">
        <f t="shared" ref="W8:W23" si="7">V8/T8</f>
        <v>0</v>
      </c>
    </row>
    <row r="9" spans="1:220">
      <c r="A9" s="212">
        <v>2016</v>
      </c>
      <c r="B9" s="207">
        <v>7</v>
      </c>
      <c r="C9" s="207">
        <v>0</v>
      </c>
      <c r="D9" s="37">
        <f>B9+C9</f>
        <v>7</v>
      </c>
      <c r="E9" s="38"/>
      <c r="F9" s="38"/>
      <c r="G9" s="207">
        <v>7</v>
      </c>
      <c r="H9" s="207">
        <v>0</v>
      </c>
      <c r="I9" s="207">
        <v>33</v>
      </c>
      <c r="J9" s="207">
        <v>30</v>
      </c>
      <c r="K9" s="37">
        <f>I9+J9</f>
        <v>63</v>
      </c>
      <c r="L9" s="207">
        <v>16</v>
      </c>
      <c r="M9" s="38">
        <f>I9+L9</f>
        <v>49</v>
      </c>
      <c r="N9" s="207">
        <v>63</v>
      </c>
      <c r="O9" s="207">
        <v>63</v>
      </c>
      <c r="P9" s="133">
        <f t="shared" si="6"/>
        <v>0.77777777777777779</v>
      </c>
      <c r="Q9" s="207">
        <v>25</v>
      </c>
      <c r="R9" s="207">
        <v>0</v>
      </c>
      <c r="S9" s="209">
        <v>1022011</v>
      </c>
      <c r="T9" s="39">
        <f>SUM(U9:V9)</f>
        <v>1022011</v>
      </c>
      <c r="U9" s="209">
        <v>1022011</v>
      </c>
      <c r="V9" s="208">
        <v>0</v>
      </c>
      <c r="W9" s="135">
        <f t="shared" si="7"/>
        <v>0</v>
      </c>
      <c r="X9" s="9"/>
      <c r="Y9" s="9"/>
      <c r="Z9" s="9"/>
    </row>
    <row r="10" spans="1:220">
      <c r="A10" s="213">
        <v>2015</v>
      </c>
      <c r="B10" s="40">
        <v>7</v>
      </c>
      <c r="C10" s="40">
        <v>0</v>
      </c>
      <c r="D10" s="37">
        <v>7</v>
      </c>
      <c r="E10" s="37">
        <v>10.4</v>
      </c>
      <c r="F10" s="37">
        <v>10.4</v>
      </c>
      <c r="G10" s="41"/>
      <c r="H10" s="41"/>
      <c r="I10" s="40">
        <v>32</v>
      </c>
      <c r="J10" s="40">
        <v>27</v>
      </c>
      <c r="K10" s="37">
        <v>59</v>
      </c>
      <c r="L10" s="40">
        <v>17</v>
      </c>
      <c r="M10" s="37">
        <v>49.15</v>
      </c>
      <c r="N10" s="40">
        <v>58</v>
      </c>
      <c r="O10" s="40">
        <v>72.78</v>
      </c>
      <c r="P10" s="133">
        <f t="shared" si="6"/>
        <v>0.67532289090409447</v>
      </c>
      <c r="Q10" s="40">
        <v>25</v>
      </c>
      <c r="R10" s="40">
        <v>0</v>
      </c>
      <c r="S10" s="42">
        <v>1213820</v>
      </c>
      <c r="T10" s="43">
        <v>1304836</v>
      </c>
      <c r="U10" s="42">
        <v>1297336</v>
      </c>
      <c r="V10" s="42">
        <v>7500</v>
      </c>
      <c r="W10" s="135">
        <f t="shared" si="7"/>
        <v>5.7478487717996744E-3</v>
      </c>
      <c r="X10" s="16"/>
      <c r="Y10" s="16"/>
      <c r="Z10" s="16"/>
    </row>
    <row r="11" spans="1:220">
      <c r="A11" s="213">
        <v>2014</v>
      </c>
      <c r="B11" s="40">
        <v>7</v>
      </c>
      <c r="C11" s="40">
        <v>3</v>
      </c>
      <c r="D11" s="37">
        <f>B11+C11</f>
        <v>10</v>
      </c>
      <c r="E11" s="38">
        <f t="shared" ref="E11:E23" si="8">ROUND((O11/B11), 0)</f>
        <v>11</v>
      </c>
      <c r="F11" s="38">
        <f t="shared" ref="F11:F23" si="9">ROUND((O11/D11), 0)</f>
        <v>8</v>
      </c>
      <c r="G11" s="41"/>
      <c r="H11" s="41"/>
      <c r="I11" s="40">
        <v>34</v>
      </c>
      <c r="J11" s="40">
        <v>24</v>
      </c>
      <c r="K11" s="37">
        <f>I11+J11</f>
        <v>58</v>
      </c>
      <c r="L11" s="40">
        <v>13.13</v>
      </c>
      <c r="M11" s="38">
        <f>I11+L11</f>
        <v>47.13</v>
      </c>
      <c r="N11" s="40">
        <v>58</v>
      </c>
      <c r="O11" s="40">
        <v>79</v>
      </c>
      <c r="P11" s="133">
        <f t="shared" si="6"/>
        <v>0.59658227848101264</v>
      </c>
      <c r="Q11" s="40">
        <v>34</v>
      </c>
      <c r="R11" s="40">
        <v>7</v>
      </c>
      <c r="S11" s="44">
        <v>1130361</v>
      </c>
      <c r="T11" s="39">
        <f t="shared" ref="T11:T23" si="10">SUM(U11:V11)</f>
        <v>1348152</v>
      </c>
      <c r="U11" s="44">
        <v>1217000</v>
      </c>
      <c r="V11" s="44">
        <v>131152</v>
      </c>
      <c r="W11" s="135">
        <f t="shared" si="7"/>
        <v>9.7282798972222723E-2</v>
      </c>
      <c r="X11" s="16"/>
      <c r="Y11" s="16"/>
      <c r="Z11" s="16"/>
    </row>
    <row r="12" spans="1:220">
      <c r="A12" s="213">
        <v>2013</v>
      </c>
      <c r="B12" s="45">
        <v>7</v>
      </c>
      <c r="C12" s="45">
        <v>0</v>
      </c>
      <c r="D12" s="46">
        <f>B12+C12</f>
        <v>7</v>
      </c>
      <c r="E12" s="47">
        <f t="shared" si="8"/>
        <v>10</v>
      </c>
      <c r="F12" s="47">
        <f t="shared" si="9"/>
        <v>10</v>
      </c>
      <c r="G12" s="48"/>
      <c r="H12" s="48"/>
      <c r="I12" s="45">
        <v>27</v>
      </c>
      <c r="J12" s="45">
        <v>18</v>
      </c>
      <c r="K12" s="46">
        <f>I12+J12</f>
        <v>45</v>
      </c>
      <c r="L12" s="45">
        <v>12.87</v>
      </c>
      <c r="M12" s="47">
        <f>I12+L12</f>
        <v>39.869999999999997</v>
      </c>
      <c r="N12" s="45">
        <v>45</v>
      </c>
      <c r="O12" s="45">
        <v>71.87</v>
      </c>
      <c r="P12" s="133">
        <f t="shared" si="6"/>
        <v>0.5547516348963405</v>
      </c>
      <c r="Q12" s="45">
        <v>34</v>
      </c>
      <c r="R12" s="45">
        <v>9</v>
      </c>
      <c r="S12" s="49">
        <v>1099378</v>
      </c>
      <c r="T12" s="50">
        <f t="shared" si="10"/>
        <v>1242080</v>
      </c>
      <c r="U12" s="49">
        <v>1162080</v>
      </c>
      <c r="V12" s="49">
        <v>80000</v>
      </c>
      <c r="W12" s="135">
        <f t="shared" si="7"/>
        <v>6.4408089656060805E-2</v>
      </c>
    </row>
    <row r="13" spans="1:220">
      <c r="A13" s="213">
        <v>2012</v>
      </c>
      <c r="B13" s="45">
        <v>7</v>
      </c>
      <c r="C13" s="45">
        <v>0</v>
      </c>
      <c r="D13" s="46">
        <f>B13+C13</f>
        <v>7</v>
      </c>
      <c r="E13" s="47">
        <f t="shared" si="8"/>
        <v>11</v>
      </c>
      <c r="F13" s="47">
        <f t="shared" si="9"/>
        <v>11</v>
      </c>
      <c r="G13" s="48"/>
      <c r="H13" s="48"/>
      <c r="I13" s="45">
        <v>36</v>
      </c>
      <c r="J13" s="45">
        <v>21</v>
      </c>
      <c r="K13" s="46">
        <f>I13+J13</f>
        <v>57</v>
      </c>
      <c r="L13" s="45">
        <v>14.25</v>
      </c>
      <c r="M13" s="47">
        <f>I13+L13</f>
        <v>50.25</v>
      </c>
      <c r="N13" s="45">
        <v>66</v>
      </c>
      <c r="O13" s="45">
        <v>77.63</v>
      </c>
      <c r="P13" s="133">
        <f t="shared" si="6"/>
        <v>0.6473013010434111</v>
      </c>
      <c r="Q13" s="45">
        <v>67</v>
      </c>
      <c r="R13" s="45">
        <v>0</v>
      </c>
      <c r="S13" s="49">
        <v>1189520.19</v>
      </c>
      <c r="T13" s="50">
        <f t="shared" si="10"/>
        <v>997791</v>
      </c>
      <c r="U13" s="49">
        <v>987791</v>
      </c>
      <c r="V13" s="49">
        <v>10000</v>
      </c>
      <c r="W13" s="135">
        <f t="shared" si="7"/>
        <v>1.0022138904840792E-2</v>
      </c>
    </row>
    <row r="14" spans="1:220">
      <c r="A14" s="213" t="s">
        <v>26</v>
      </c>
      <c r="B14" s="45">
        <v>7</v>
      </c>
      <c r="C14" s="45">
        <v>3.07</v>
      </c>
      <c r="D14" s="46">
        <f t="shared" ref="D14:D23" si="11">SUM(B14:C14)</f>
        <v>10.07</v>
      </c>
      <c r="E14" s="47">
        <f t="shared" si="8"/>
        <v>14</v>
      </c>
      <c r="F14" s="47">
        <f t="shared" si="9"/>
        <v>9</v>
      </c>
      <c r="G14" s="48"/>
      <c r="H14" s="48"/>
      <c r="I14" s="45">
        <v>50</v>
      </c>
      <c r="J14" s="45">
        <v>40</v>
      </c>
      <c r="K14" s="46">
        <f t="shared" ref="K14:K23" si="12">SUM(I14:J14)</f>
        <v>90</v>
      </c>
      <c r="L14" s="45">
        <v>22.63</v>
      </c>
      <c r="M14" s="47">
        <f t="shared" ref="M14:M23" si="13">(I14+L14)</f>
        <v>72.63</v>
      </c>
      <c r="N14" s="45">
        <v>89</v>
      </c>
      <c r="O14" s="45">
        <v>94.63</v>
      </c>
      <c r="P14" s="133">
        <f t="shared" si="6"/>
        <v>0.76751558702314271</v>
      </c>
      <c r="Q14" s="45">
        <v>7</v>
      </c>
      <c r="R14" s="45">
        <v>29</v>
      </c>
      <c r="S14" s="49">
        <v>1088313</v>
      </c>
      <c r="T14" s="50">
        <f t="shared" si="10"/>
        <v>1254137</v>
      </c>
      <c r="U14" s="49">
        <v>1152737</v>
      </c>
      <c r="V14" s="49">
        <v>101400</v>
      </c>
      <c r="W14" s="135">
        <f t="shared" si="7"/>
        <v>8.0852410861014384E-2</v>
      </c>
    </row>
    <row r="15" spans="1:220">
      <c r="A15" s="213" t="s">
        <v>27</v>
      </c>
      <c r="B15" s="45">
        <v>6</v>
      </c>
      <c r="C15" s="45">
        <v>4.49</v>
      </c>
      <c r="D15" s="46">
        <f t="shared" si="11"/>
        <v>10.49</v>
      </c>
      <c r="E15" s="47">
        <f t="shared" si="8"/>
        <v>17</v>
      </c>
      <c r="F15" s="47">
        <f t="shared" si="9"/>
        <v>10</v>
      </c>
      <c r="G15" s="48"/>
      <c r="H15" s="48"/>
      <c r="I15" s="45">
        <v>52</v>
      </c>
      <c r="J15" s="45">
        <v>32</v>
      </c>
      <c r="K15" s="46">
        <f t="shared" si="12"/>
        <v>84</v>
      </c>
      <c r="L15" s="45">
        <v>13.12</v>
      </c>
      <c r="M15" s="47">
        <f t="shared" si="13"/>
        <v>65.12</v>
      </c>
      <c r="N15" s="45">
        <v>81</v>
      </c>
      <c r="O15" s="45">
        <v>101.42</v>
      </c>
      <c r="P15" s="133">
        <f t="shared" si="6"/>
        <v>0.64208242950108463</v>
      </c>
      <c r="Q15" s="45">
        <v>24</v>
      </c>
      <c r="R15" s="45">
        <v>12</v>
      </c>
      <c r="S15" s="49">
        <v>1322318.79</v>
      </c>
      <c r="T15" s="50">
        <f t="shared" si="10"/>
        <v>1317692</v>
      </c>
      <c r="U15" s="49">
        <v>1218785</v>
      </c>
      <c r="V15" s="49">
        <v>98907</v>
      </c>
      <c r="W15" s="135">
        <f t="shared" si="7"/>
        <v>7.5060788105262843E-2</v>
      </c>
    </row>
    <row r="16" spans="1:220">
      <c r="A16" s="213" t="s">
        <v>28</v>
      </c>
      <c r="B16" s="45">
        <v>6</v>
      </c>
      <c r="C16" s="45">
        <v>4.49</v>
      </c>
      <c r="D16" s="46">
        <f t="shared" si="11"/>
        <v>10.49</v>
      </c>
      <c r="E16" s="47">
        <f t="shared" si="8"/>
        <v>20</v>
      </c>
      <c r="F16" s="47">
        <f t="shared" si="9"/>
        <v>11</v>
      </c>
      <c r="G16" s="48"/>
      <c r="H16" s="48"/>
      <c r="I16" s="45">
        <v>60</v>
      </c>
      <c r="J16" s="45">
        <v>37</v>
      </c>
      <c r="K16" s="46">
        <f t="shared" si="12"/>
        <v>97</v>
      </c>
      <c r="L16" s="45">
        <v>21.38</v>
      </c>
      <c r="M16" s="47">
        <f t="shared" si="13"/>
        <v>81.38</v>
      </c>
      <c r="N16" s="45">
        <v>92</v>
      </c>
      <c r="O16" s="45">
        <v>117.01</v>
      </c>
      <c r="P16" s="133">
        <f t="shared" si="6"/>
        <v>0.69549611144346635</v>
      </c>
      <c r="Q16" s="45">
        <v>21</v>
      </c>
      <c r="R16" s="45">
        <v>25</v>
      </c>
      <c r="S16" s="49">
        <v>1489737</v>
      </c>
      <c r="T16" s="50">
        <f t="shared" si="10"/>
        <v>1445717</v>
      </c>
      <c r="U16" s="49">
        <v>1312769</v>
      </c>
      <c r="V16" s="49">
        <v>132948</v>
      </c>
      <c r="W16" s="135">
        <f t="shared" si="7"/>
        <v>9.1959906399385213E-2</v>
      </c>
    </row>
    <row r="17" spans="1:23">
      <c r="A17" s="213" t="s">
        <v>29</v>
      </c>
      <c r="B17" s="51">
        <v>5</v>
      </c>
      <c r="C17" s="45"/>
      <c r="D17" s="47">
        <f t="shared" si="11"/>
        <v>5</v>
      </c>
      <c r="E17" s="47">
        <f t="shared" si="8"/>
        <v>21</v>
      </c>
      <c r="F17" s="47">
        <f t="shared" si="9"/>
        <v>21</v>
      </c>
      <c r="G17" s="48"/>
      <c r="H17" s="48"/>
      <c r="I17" s="45">
        <v>57</v>
      </c>
      <c r="J17" s="45">
        <v>39</v>
      </c>
      <c r="K17" s="46">
        <f t="shared" si="12"/>
        <v>96</v>
      </c>
      <c r="L17" s="45">
        <v>22.63</v>
      </c>
      <c r="M17" s="47">
        <f t="shared" si="13"/>
        <v>79.63</v>
      </c>
      <c r="N17" s="45">
        <v>85</v>
      </c>
      <c r="O17" s="45">
        <v>106</v>
      </c>
      <c r="P17" s="133">
        <f t="shared" si="6"/>
        <v>0.75122641509433963</v>
      </c>
      <c r="Q17" s="45">
        <v>10</v>
      </c>
      <c r="R17" s="45">
        <v>8</v>
      </c>
      <c r="S17" s="49">
        <v>1111050</v>
      </c>
      <c r="T17" s="50">
        <f t="shared" si="10"/>
        <v>1368906</v>
      </c>
      <c r="U17" s="52">
        <v>1228340</v>
      </c>
      <c r="V17" s="49">
        <v>140566</v>
      </c>
      <c r="W17" s="135">
        <f t="shared" si="7"/>
        <v>0.10268491773722958</v>
      </c>
    </row>
    <row r="18" spans="1:23">
      <c r="A18" s="213">
        <v>2007</v>
      </c>
      <c r="B18" s="45">
        <v>10</v>
      </c>
      <c r="C18" s="45">
        <v>1.8</v>
      </c>
      <c r="D18" s="46">
        <f t="shared" si="11"/>
        <v>11.8</v>
      </c>
      <c r="E18" s="47">
        <f t="shared" si="8"/>
        <v>8</v>
      </c>
      <c r="F18" s="47">
        <f t="shared" si="9"/>
        <v>7</v>
      </c>
      <c r="G18" s="48"/>
      <c r="H18" s="48"/>
      <c r="I18" s="45">
        <v>56</v>
      </c>
      <c r="J18" s="45">
        <v>37</v>
      </c>
      <c r="K18" s="46">
        <f t="shared" si="12"/>
        <v>93</v>
      </c>
      <c r="L18" s="45">
        <v>24</v>
      </c>
      <c r="M18" s="47">
        <f t="shared" si="13"/>
        <v>80</v>
      </c>
      <c r="N18" s="45">
        <v>86</v>
      </c>
      <c r="O18" s="45">
        <v>80</v>
      </c>
      <c r="P18" s="133">
        <f t="shared" si="6"/>
        <v>1</v>
      </c>
      <c r="Q18" s="45">
        <v>17</v>
      </c>
      <c r="R18" s="45">
        <v>14</v>
      </c>
      <c r="S18" s="52">
        <v>1426673</v>
      </c>
      <c r="T18" s="50">
        <f t="shared" si="10"/>
        <v>1441499</v>
      </c>
      <c r="U18" s="52">
        <v>1233594</v>
      </c>
      <c r="V18" s="52">
        <v>207905</v>
      </c>
      <c r="W18" s="135">
        <f t="shared" si="7"/>
        <v>0.1442283345323167</v>
      </c>
    </row>
    <row r="19" spans="1:23">
      <c r="A19" s="213">
        <v>2006</v>
      </c>
      <c r="B19" s="45">
        <v>10</v>
      </c>
      <c r="C19" s="45">
        <v>0.85</v>
      </c>
      <c r="D19" s="46">
        <f t="shared" si="11"/>
        <v>10.85</v>
      </c>
      <c r="E19" s="47">
        <f t="shared" si="8"/>
        <v>11</v>
      </c>
      <c r="F19" s="47">
        <f t="shared" si="9"/>
        <v>11</v>
      </c>
      <c r="G19" s="48"/>
      <c r="H19" s="48"/>
      <c r="I19" s="45">
        <v>67</v>
      </c>
      <c r="J19" s="45">
        <v>31</v>
      </c>
      <c r="K19" s="46">
        <f t="shared" si="12"/>
        <v>98</v>
      </c>
      <c r="L19" s="45">
        <v>19</v>
      </c>
      <c r="M19" s="47">
        <f t="shared" si="13"/>
        <v>86</v>
      </c>
      <c r="N19" s="45">
        <v>91</v>
      </c>
      <c r="O19" s="45">
        <v>114</v>
      </c>
      <c r="P19" s="133">
        <f t="shared" si="6"/>
        <v>0.75438596491228072</v>
      </c>
      <c r="Q19" s="45">
        <v>17</v>
      </c>
      <c r="R19" s="45">
        <v>29</v>
      </c>
      <c r="S19" s="53">
        <v>1551171</v>
      </c>
      <c r="T19" s="50">
        <f t="shared" si="10"/>
        <v>1535203</v>
      </c>
      <c r="U19" s="53">
        <v>1241552</v>
      </c>
      <c r="V19" s="53">
        <v>293651</v>
      </c>
      <c r="W19" s="135">
        <f t="shared" si="7"/>
        <v>0.19127828697572893</v>
      </c>
    </row>
    <row r="20" spans="1:23">
      <c r="A20" s="213">
        <v>2005</v>
      </c>
      <c r="B20" s="45">
        <v>10</v>
      </c>
      <c r="C20" s="45">
        <v>2</v>
      </c>
      <c r="D20" s="46">
        <f t="shared" si="11"/>
        <v>12</v>
      </c>
      <c r="E20" s="47">
        <f t="shared" si="8"/>
        <v>8</v>
      </c>
      <c r="F20" s="47">
        <f t="shared" si="9"/>
        <v>6</v>
      </c>
      <c r="G20" s="48"/>
      <c r="H20" s="48"/>
      <c r="I20" s="45">
        <v>61</v>
      </c>
      <c r="J20" s="45">
        <v>24</v>
      </c>
      <c r="K20" s="46">
        <f t="shared" si="12"/>
        <v>85</v>
      </c>
      <c r="L20" s="45">
        <v>12</v>
      </c>
      <c r="M20" s="47">
        <f t="shared" si="13"/>
        <v>73</v>
      </c>
      <c r="N20" s="45">
        <v>81</v>
      </c>
      <c r="O20" s="45">
        <v>77</v>
      </c>
      <c r="P20" s="133">
        <f t="shared" si="6"/>
        <v>0.94805194805194803</v>
      </c>
      <c r="Q20" s="45">
        <v>19</v>
      </c>
      <c r="R20" s="45">
        <v>22</v>
      </c>
      <c r="S20" s="53">
        <v>965721</v>
      </c>
      <c r="T20" s="50">
        <f t="shared" si="10"/>
        <v>1254758</v>
      </c>
      <c r="U20" s="53">
        <v>1127232</v>
      </c>
      <c r="V20" s="53">
        <v>127526</v>
      </c>
      <c r="W20" s="135">
        <f t="shared" si="7"/>
        <v>0.1016339405686196</v>
      </c>
    </row>
    <row r="21" spans="1:23">
      <c r="A21" s="213">
        <v>2004</v>
      </c>
      <c r="B21" s="45">
        <v>8</v>
      </c>
      <c r="C21" s="45">
        <v>4</v>
      </c>
      <c r="D21" s="46">
        <f t="shared" si="11"/>
        <v>12</v>
      </c>
      <c r="E21" s="47">
        <f t="shared" si="8"/>
        <v>12</v>
      </c>
      <c r="F21" s="47">
        <f t="shared" si="9"/>
        <v>8</v>
      </c>
      <c r="G21" s="48"/>
      <c r="H21" s="48"/>
      <c r="I21" s="45">
        <v>56</v>
      </c>
      <c r="J21" s="45">
        <v>54</v>
      </c>
      <c r="K21" s="46">
        <f t="shared" si="12"/>
        <v>110</v>
      </c>
      <c r="L21" s="210">
        <v>35</v>
      </c>
      <c r="M21" s="47">
        <f t="shared" si="13"/>
        <v>91</v>
      </c>
      <c r="N21" s="45">
        <v>102</v>
      </c>
      <c r="O21" s="45">
        <v>99</v>
      </c>
      <c r="P21" s="133">
        <f t="shared" si="6"/>
        <v>0.91919191919191923</v>
      </c>
      <c r="Q21" s="45">
        <v>14</v>
      </c>
      <c r="R21" s="45">
        <v>35</v>
      </c>
      <c r="S21" s="53">
        <v>1611654</v>
      </c>
      <c r="T21" s="50">
        <f t="shared" si="10"/>
        <v>2059382</v>
      </c>
      <c r="U21" s="53">
        <v>1010683</v>
      </c>
      <c r="V21" s="53">
        <v>1048699</v>
      </c>
      <c r="W21" s="135">
        <f t="shared" si="7"/>
        <v>0.50922995345205502</v>
      </c>
    </row>
    <row r="22" spans="1:23">
      <c r="A22" s="213">
        <v>2003</v>
      </c>
      <c r="B22" s="45">
        <v>9</v>
      </c>
      <c r="C22" s="45">
        <v>2</v>
      </c>
      <c r="D22" s="46">
        <f t="shared" si="11"/>
        <v>11</v>
      </c>
      <c r="E22" s="47">
        <f t="shared" si="8"/>
        <v>12</v>
      </c>
      <c r="F22" s="47">
        <f t="shared" si="9"/>
        <v>10</v>
      </c>
      <c r="G22" s="48"/>
      <c r="H22" s="48"/>
      <c r="I22" s="45">
        <v>58</v>
      </c>
      <c r="J22" s="45">
        <v>52</v>
      </c>
      <c r="K22" s="46">
        <f t="shared" si="12"/>
        <v>110</v>
      </c>
      <c r="L22" s="210">
        <v>32</v>
      </c>
      <c r="M22" s="47">
        <f t="shared" si="13"/>
        <v>90</v>
      </c>
      <c r="N22" s="45">
        <v>104</v>
      </c>
      <c r="O22" s="45">
        <v>111</v>
      </c>
      <c r="P22" s="133">
        <f t="shared" si="6"/>
        <v>0.81081081081081086</v>
      </c>
      <c r="Q22" s="45">
        <v>11</v>
      </c>
      <c r="R22" s="45">
        <v>27</v>
      </c>
      <c r="S22" s="53">
        <v>1575509</v>
      </c>
      <c r="T22" s="50">
        <f t="shared" si="10"/>
        <v>1926014</v>
      </c>
      <c r="U22" s="53">
        <v>1012888</v>
      </c>
      <c r="V22" s="53">
        <v>913126</v>
      </c>
      <c r="W22" s="135">
        <f t="shared" si="7"/>
        <v>0.47410143436132862</v>
      </c>
    </row>
    <row r="23" spans="1:23">
      <c r="A23" s="213">
        <v>2002</v>
      </c>
      <c r="B23" s="45">
        <v>10</v>
      </c>
      <c r="C23" s="45">
        <v>5.25</v>
      </c>
      <c r="D23" s="46">
        <f t="shared" si="11"/>
        <v>15.25</v>
      </c>
      <c r="E23" s="47">
        <f t="shared" si="8"/>
        <v>14</v>
      </c>
      <c r="F23" s="47">
        <f t="shared" si="9"/>
        <v>9</v>
      </c>
      <c r="G23" s="48"/>
      <c r="H23" s="48"/>
      <c r="I23" s="45">
        <v>55</v>
      </c>
      <c r="J23" s="45">
        <v>45</v>
      </c>
      <c r="K23" s="46">
        <f t="shared" si="12"/>
        <v>100</v>
      </c>
      <c r="L23" s="210">
        <f>ROUND(30.38, 0)</f>
        <v>30</v>
      </c>
      <c r="M23" s="47">
        <f t="shared" si="13"/>
        <v>85</v>
      </c>
      <c r="N23" s="45">
        <v>94</v>
      </c>
      <c r="O23" s="45">
        <f>ROUND(140.51, 0)</f>
        <v>141</v>
      </c>
      <c r="P23" s="133">
        <f t="shared" si="6"/>
        <v>0.6028368794326241</v>
      </c>
      <c r="Q23" s="45">
        <v>9</v>
      </c>
      <c r="R23" s="45">
        <v>20</v>
      </c>
      <c r="S23" s="53">
        <v>1484442</v>
      </c>
      <c r="T23" s="50">
        <f t="shared" si="10"/>
        <v>2099270</v>
      </c>
      <c r="U23" s="53">
        <v>911308</v>
      </c>
      <c r="V23" s="53">
        <v>1187962</v>
      </c>
      <c r="W23" s="135">
        <f t="shared" si="7"/>
        <v>0.56589290562909966</v>
      </c>
    </row>
    <row r="24" spans="1:23" s="12" customFormat="1"/>
    <row r="25" spans="1:23" s="12" customFormat="1"/>
    <row r="26" spans="1:23" s="12" customFormat="1"/>
    <row r="27" spans="1:23" s="12" customFormat="1"/>
    <row r="28" spans="1:23" s="12" customFormat="1"/>
    <row r="29" spans="1:23" s="12" customFormat="1"/>
    <row r="30" spans="1:23" s="12" customFormat="1"/>
    <row r="31" spans="1:23" s="12" customFormat="1"/>
    <row r="32" spans="1:23" s="12" customFormat="1"/>
    <row r="33" s="12" customFormat="1"/>
    <row r="34" s="12" customFormat="1"/>
    <row r="35" s="12" customFormat="1"/>
    <row r="36" s="12" customFormat="1"/>
    <row r="37" s="12" customFormat="1"/>
    <row r="38" s="12" customFormat="1"/>
    <row r="39" s="12" customFormat="1"/>
    <row r="40" s="12" customFormat="1"/>
    <row r="41" s="12" customFormat="1"/>
    <row r="42" s="12" customFormat="1"/>
    <row r="43" s="12" customFormat="1"/>
    <row r="44" s="12" customFormat="1"/>
    <row r="45" s="12" customFormat="1"/>
    <row r="46" s="12" customFormat="1"/>
    <row r="47" s="12" customFormat="1"/>
    <row r="48" s="12" customFormat="1"/>
    <row r="49" s="12" customFormat="1"/>
    <row r="50" s="12" customFormat="1"/>
    <row r="51" s="12" customFormat="1"/>
    <row r="52" s="12" customFormat="1"/>
    <row r="53" s="12" customFormat="1"/>
    <row r="54" s="12" customFormat="1"/>
    <row r="55" s="12" customFormat="1"/>
    <row r="56" s="12" customFormat="1"/>
    <row r="57" s="12" customFormat="1"/>
    <row r="58" s="12" customFormat="1"/>
    <row r="59" s="12" customFormat="1"/>
    <row r="60" s="12" customFormat="1"/>
    <row r="61" s="12" customFormat="1"/>
    <row r="62" s="12" customFormat="1"/>
    <row r="63" s="12" customFormat="1"/>
    <row r="64" s="12" customFormat="1"/>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sheetData>
  <printOptions headings="1" gridLines="1"/>
  <pageMargins left="0.5" right="0.5" top="0.5" bottom="0.5" header="0" footer="0"/>
  <pageSetup paperSize="5" scale="67" orientation="landscape" r:id="rId1"/>
  <drawing r:id="rId2"/>
  <legacyDrawing r:id="rId3"/>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HL35"/>
  <sheetViews>
    <sheetView workbookViewId="0">
      <selection activeCell="H4" sqref="H4"/>
    </sheetView>
  </sheetViews>
  <sheetFormatPr defaultColWidth="8.85546875" defaultRowHeight="15"/>
  <cols>
    <col min="1" max="1" width="9.710937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0.85546875" bestFit="1" customWidth="1"/>
    <col min="23" max="23" width="12.85546875" bestFit="1" customWidth="1"/>
  </cols>
  <sheetData>
    <row r="1" spans="1:220" s="7" customFormat="1" ht="18.75">
      <c r="A1" s="1" t="s">
        <v>173</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c r="A3" s="105">
        <v>2022</v>
      </c>
      <c r="B3" s="17">
        <v>8</v>
      </c>
      <c r="C3" s="17">
        <v>8</v>
      </c>
      <c r="D3" s="23">
        <v>16</v>
      </c>
      <c r="E3" s="82">
        <v>20</v>
      </c>
      <c r="F3" s="82">
        <v>10</v>
      </c>
      <c r="G3" s="17">
        <v>8</v>
      </c>
      <c r="H3" s="17">
        <v>8</v>
      </c>
      <c r="I3" s="17">
        <v>46</v>
      </c>
      <c r="J3" s="17">
        <v>248</v>
      </c>
      <c r="K3" s="23">
        <v>294</v>
      </c>
      <c r="L3" s="17">
        <v>109</v>
      </c>
      <c r="M3" s="82">
        <v>155</v>
      </c>
      <c r="N3" s="17">
        <v>94</v>
      </c>
      <c r="O3" s="17">
        <v>157</v>
      </c>
      <c r="P3" s="133">
        <v>0.98729999999999996</v>
      </c>
      <c r="Q3" s="17">
        <v>122</v>
      </c>
      <c r="R3" s="17">
        <v>0</v>
      </c>
      <c r="S3" s="20">
        <v>1135700</v>
      </c>
      <c r="T3" s="24">
        <v>1140200</v>
      </c>
      <c r="U3" s="20">
        <v>1131950</v>
      </c>
      <c r="V3" s="20">
        <v>8250</v>
      </c>
      <c r="W3" s="135">
        <v>7.1999999999999998E-3</v>
      </c>
    </row>
    <row r="4" spans="1:220">
      <c r="A4" s="105">
        <v>2021</v>
      </c>
      <c r="B4" s="17">
        <v>8</v>
      </c>
      <c r="C4" s="17">
        <v>9</v>
      </c>
      <c r="D4" s="23">
        <f>SUM(B4:C4)</f>
        <v>17</v>
      </c>
      <c r="E4" s="82">
        <f t="shared" ref="E4" si="0">ROUND((O4/B4), 0)</f>
        <v>21</v>
      </c>
      <c r="F4" s="82">
        <f t="shared" ref="F4" si="1">ROUND((O4/D4), 0)</f>
        <v>10</v>
      </c>
      <c r="G4" s="17">
        <v>8</v>
      </c>
      <c r="H4" s="17">
        <v>9</v>
      </c>
      <c r="I4" s="17">
        <v>47</v>
      </c>
      <c r="J4" s="17">
        <v>250</v>
      </c>
      <c r="K4" s="23">
        <f t="shared" ref="K4" si="2">SUM(I4:J4)</f>
        <v>297</v>
      </c>
      <c r="L4" s="17">
        <v>110</v>
      </c>
      <c r="M4" s="82">
        <v>167</v>
      </c>
      <c r="N4" s="17">
        <v>90</v>
      </c>
      <c r="O4" s="17">
        <v>169</v>
      </c>
      <c r="P4" s="133">
        <f t="shared" ref="P4" si="3">M4/O4</f>
        <v>0.98816568047337283</v>
      </c>
      <c r="Q4" s="17">
        <v>107</v>
      </c>
      <c r="R4" s="17">
        <v>0</v>
      </c>
      <c r="S4" s="20">
        <v>1138100</v>
      </c>
      <c r="T4" s="24">
        <f t="shared" ref="T4" si="4">SUM(U4:V4)</f>
        <v>1139100</v>
      </c>
      <c r="U4" s="20">
        <v>1130600</v>
      </c>
      <c r="V4" s="20">
        <v>8500</v>
      </c>
      <c r="W4" s="135">
        <f t="shared" ref="W4" si="5">V4/T4</f>
        <v>7.4620314283206039E-3</v>
      </c>
    </row>
    <row r="5" spans="1:220">
      <c r="A5" s="105">
        <v>2020</v>
      </c>
      <c r="B5" s="17">
        <v>8</v>
      </c>
      <c r="C5" s="17">
        <v>9</v>
      </c>
      <c r="D5" s="23">
        <f>SUM(B5:C5)</f>
        <v>17</v>
      </c>
      <c r="E5" s="82">
        <f>ROUND((O5/B5), 0)</f>
        <v>22</v>
      </c>
      <c r="F5" s="82">
        <f>ROUND((O5/D5), 0)</f>
        <v>11</v>
      </c>
      <c r="G5" s="17">
        <v>8</v>
      </c>
      <c r="H5" s="17">
        <v>9</v>
      </c>
      <c r="I5" s="17">
        <v>54</v>
      </c>
      <c r="J5" s="17">
        <v>255</v>
      </c>
      <c r="K5" s="23">
        <f t="shared" ref="K5" si="6">SUM(I5:J5)</f>
        <v>309</v>
      </c>
      <c r="L5" s="17">
        <v>124</v>
      </c>
      <c r="M5" s="82">
        <f>(I5+L5)</f>
        <v>178</v>
      </c>
      <c r="N5" s="17">
        <v>97</v>
      </c>
      <c r="O5" s="17">
        <v>179</v>
      </c>
      <c r="P5" s="133">
        <f t="shared" ref="P5" si="7">M5/O5</f>
        <v>0.994413407821229</v>
      </c>
      <c r="Q5" s="17">
        <v>127</v>
      </c>
      <c r="R5" s="17">
        <v>0</v>
      </c>
      <c r="S5" s="20">
        <v>1146200</v>
      </c>
      <c r="T5" s="24">
        <f>SUM(U5:V5)</f>
        <v>1126911</v>
      </c>
      <c r="U5" s="20">
        <v>1119411</v>
      </c>
      <c r="V5" s="20">
        <v>7500</v>
      </c>
      <c r="W5" s="135">
        <f t="shared" ref="W5" si="8">V5/T5</f>
        <v>6.6553614260576035E-3</v>
      </c>
    </row>
    <row r="6" spans="1:220">
      <c r="A6" s="105">
        <v>2019</v>
      </c>
      <c r="B6" s="17">
        <v>8</v>
      </c>
      <c r="C6" s="17">
        <v>8</v>
      </c>
      <c r="D6" s="23">
        <f>SUM(B6:C6)</f>
        <v>16</v>
      </c>
      <c r="E6" s="82">
        <f>ROUND((O6/B6), 0)</f>
        <v>25</v>
      </c>
      <c r="F6" s="82">
        <f>ROUND((O6/D6), 0)</f>
        <v>13</v>
      </c>
      <c r="G6" s="17">
        <v>8</v>
      </c>
      <c r="H6" s="17">
        <v>8</v>
      </c>
      <c r="I6" s="17">
        <v>62</v>
      </c>
      <c r="J6" s="17">
        <v>255</v>
      </c>
      <c r="K6" s="23">
        <f t="shared" ref="K6" si="9">SUM(I6:J6)</f>
        <v>317</v>
      </c>
      <c r="L6" s="17">
        <v>141</v>
      </c>
      <c r="M6" s="82">
        <f>(I6+L6)</f>
        <v>203</v>
      </c>
      <c r="N6" s="17">
        <v>117</v>
      </c>
      <c r="O6" s="17">
        <v>203</v>
      </c>
      <c r="P6" s="133">
        <f t="shared" ref="P6" si="10">M6/O6</f>
        <v>1</v>
      </c>
      <c r="Q6" s="17">
        <v>117</v>
      </c>
      <c r="R6" s="17">
        <v>0</v>
      </c>
      <c r="S6" s="20">
        <v>1298600</v>
      </c>
      <c r="T6" s="24">
        <f>SUM(U6:V6)</f>
        <v>1298000</v>
      </c>
      <c r="U6" s="20">
        <v>1290000</v>
      </c>
      <c r="V6" s="20">
        <v>8000</v>
      </c>
      <c r="W6" s="135">
        <f t="shared" ref="W6" si="11">V6/T6</f>
        <v>6.1633281972265025E-3</v>
      </c>
    </row>
    <row r="7" spans="1:220" s="14" customFormat="1">
      <c r="A7" s="10">
        <v>2018</v>
      </c>
      <c r="B7" s="17">
        <v>9</v>
      </c>
      <c r="C7" s="17">
        <v>4</v>
      </c>
      <c r="D7" s="23">
        <f>SUM(B7:C7)</f>
        <v>13</v>
      </c>
      <c r="E7" s="82">
        <f>ROUND((O7/B7), 0)</f>
        <v>22</v>
      </c>
      <c r="F7" s="82">
        <f>ROUND((O7/D7), 0)</f>
        <v>15</v>
      </c>
      <c r="G7" s="17">
        <v>9</v>
      </c>
      <c r="H7" s="17">
        <v>5</v>
      </c>
      <c r="I7" s="17">
        <v>57</v>
      </c>
      <c r="J7" s="17">
        <v>240</v>
      </c>
      <c r="K7" s="23">
        <f t="shared" ref="K7" si="12">SUM(I7:J7)</f>
        <v>297</v>
      </c>
      <c r="L7" s="17">
        <v>138</v>
      </c>
      <c r="M7" s="82">
        <f>(I7+L7)</f>
        <v>195</v>
      </c>
      <c r="N7" s="17">
        <v>115</v>
      </c>
      <c r="O7" s="17">
        <v>195</v>
      </c>
      <c r="P7" s="133">
        <f>M7/O7</f>
        <v>1</v>
      </c>
      <c r="Q7" s="17">
        <v>89</v>
      </c>
      <c r="R7" s="17">
        <v>0</v>
      </c>
      <c r="S7" s="20">
        <v>1397845</v>
      </c>
      <c r="T7" s="24">
        <f>SUM(U7:V7)</f>
        <v>1196763</v>
      </c>
      <c r="U7" s="20">
        <v>1185263</v>
      </c>
      <c r="V7" s="20">
        <v>11500</v>
      </c>
      <c r="W7" s="135">
        <f>V7/T7</f>
        <v>9.6092542967989476E-3</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9</v>
      </c>
      <c r="C8" s="17">
        <v>5</v>
      </c>
      <c r="D8" s="27">
        <f>SUM(B8:C8)</f>
        <v>14</v>
      </c>
      <c r="E8" s="27">
        <f>ROUND((O8/B8), 0)</f>
        <v>22</v>
      </c>
      <c r="F8" s="27">
        <f>ROUND((O8/D8), 0)</f>
        <v>14</v>
      </c>
      <c r="G8" s="17">
        <v>9</v>
      </c>
      <c r="H8" s="17">
        <v>5</v>
      </c>
      <c r="I8" s="17">
        <v>73</v>
      </c>
      <c r="J8" s="17">
        <v>212</v>
      </c>
      <c r="K8" s="27">
        <f>SUM(I8:J8)</f>
        <v>285</v>
      </c>
      <c r="L8" s="17">
        <v>121</v>
      </c>
      <c r="M8" s="29">
        <f>(I8+L8)</f>
        <v>194</v>
      </c>
      <c r="N8" s="255">
        <v>109</v>
      </c>
      <c r="O8" s="255">
        <v>194</v>
      </c>
      <c r="P8" s="133">
        <f t="shared" ref="P8:P23" si="13">M8/O8</f>
        <v>1</v>
      </c>
      <c r="Q8" s="17">
        <v>84</v>
      </c>
      <c r="R8" s="17">
        <v>3</v>
      </c>
      <c r="S8" s="223">
        <v>1774312</v>
      </c>
      <c r="T8" s="28">
        <f>SUM(U8:V8)</f>
        <v>1363207</v>
      </c>
      <c r="U8" s="252">
        <v>1353707</v>
      </c>
      <c r="V8" s="20">
        <v>9500</v>
      </c>
      <c r="W8" s="135">
        <f t="shared" ref="W8:W23" si="14">V8/T8</f>
        <v>6.9688609286777427E-3</v>
      </c>
    </row>
    <row r="9" spans="1:220" s="72" customFormat="1">
      <c r="A9" s="105">
        <v>2016</v>
      </c>
      <c r="B9" s="54">
        <v>11</v>
      </c>
      <c r="C9" s="54">
        <v>5</v>
      </c>
      <c r="D9" s="65">
        <f>B9+C9</f>
        <v>16</v>
      </c>
      <c r="E9" s="13">
        <f>ROUND((O9/B9), 0)</f>
        <v>15</v>
      </c>
      <c r="F9" s="13">
        <f>ROUND((O9/D9), 0)</f>
        <v>10</v>
      </c>
      <c r="G9" s="54">
        <v>11</v>
      </c>
      <c r="H9" s="54">
        <v>5</v>
      </c>
      <c r="I9" s="54">
        <v>73</v>
      </c>
      <c r="J9" s="54">
        <v>168</v>
      </c>
      <c r="K9" s="65">
        <f>SUM(I9:J9)</f>
        <v>241</v>
      </c>
      <c r="L9" s="54">
        <v>94</v>
      </c>
      <c r="M9" s="13">
        <f>(I9+L9)</f>
        <v>167</v>
      </c>
      <c r="N9" s="54">
        <v>150</v>
      </c>
      <c r="O9" s="54">
        <v>167</v>
      </c>
      <c r="P9" s="133">
        <f t="shared" si="13"/>
        <v>1</v>
      </c>
      <c r="Q9" s="54">
        <v>72</v>
      </c>
      <c r="R9" s="54">
        <v>0</v>
      </c>
      <c r="S9" s="55">
        <v>2131000</v>
      </c>
      <c r="T9" s="68">
        <f>SUM(U9:V9)</f>
        <v>1633500</v>
      </c>
      <c r="U9" s="55">
        <v>1624000</v>
      </c>
      <c r="V9" s="55">
        <v>9500</v>
      </c>
      <c r="W9" s="135">
        <f t="shared" si="14"/>
        <v>5.8157330884603614E-3</v>
      </c>
    </row>
    <row r="10" spans="1:220" s="9" customFormat="1">
      <c r="A10" s="10">
        <v>2015</v>
      </c>
      <c r="B10" s="70">
        <v>11</v>
      </c>
      <c r="C10" s="70">
        <v>4</v>
      </c>
      <c r="D10" s="65">
        <v>15</v>
      </c>
      <c r="E10" s="19">
        <v>11.4</v>
      </c>
      <c r="F10" s="19">
        <v>15</v>
      </c>
      <c r="G10" s="136"/>
      <c r="H10" s="136"/>
      <c r="I10" s="54">
        <v>50</v>
      </c>
      <c r="J10" s="54">
        <v>145</v>
      </c>
      <c r="K10" s="65">
        <v>195</v>
      </c>
      <c r="L10" s="54">
        <v>66.7</v>
      </c>
      <c r="M10" s="19">
        <v>124.4</v>
      </c>
      <c r="N10" s="54">
        <v>98</v>
      </c>
      <c r="O10" s="54">
        <v>125.7</v>
      </c>
      <c r="P10" s="133">
        <f t="shared" si="13"/>
        <v>0.98965791567223549</v>
      </c>
      <c r="Q10" s="70">
        <v>108</v>
      </c>
      <c r="R10" s="70">
        <v>1</v>
      </c>
      <c r="S10" s="78">
        <v>2146700</v>
      </c>
      <c r="T10" s="79">
        <v>1489200</v>
      </c>
      <c r="U10" s="78">
        <v>1480000</v>
      </c>
      <c r="V10" s="78">
        <v>9200</v>
      </c>
      <c r="W10" s="135">
        <f t="shared" si="14"/>
        <v>6.1778135911899007E-3</v>
      </c>
    </row>
    <row r="11" spans="1:220">
      <c r="A11" s="15">
        <v>2014</v>
      </c>
      <c r="B11" s="528">
        <v>10</v>
      </c>
      <c r="C11" s="528">
        <v>4</v>
      </c>
      <c r="D11" s="23">
        <f>B11+C11</f>
        <v>14</v>
      </c>
      <c r="E11" s="82">
        <f t="shared" ref="E11:E23" si="15">ROUND((O11/B11), 0)</f>
        <v>15</v>
      </c>
      <c r="F11" s="82">
        <f t="shared" ref="F11:F23" si="16">ROUND((O11/D11), 0)</f>
        <v>10</v>
      </c>
      <c r="G11" s="83"/>
      <c r="H11" s="83"/>
      <c r="I11" s="527">
        <v>45</v>
      </c>
      <c r="J11" s="528">
        <v>207</v>
      </c>
      <c r="K11" s="23">
        <f t="shared" ref="K11:K17" si="17">SUM(I11:J11)</f>
        <v>252</v>
      </c>
      <c r="L11" s="527">
        <v>97</v>
      </c>
      <c r="M11" s="82">
        <f t="shared" ref="M11:M23" si="18">(I11+L11)</f>
        <v>142</v>
      </c>
      <c r="N11" s="528">
        <v>102</v>
      </c>
      <c r="O11" s="528">
        <v>145</v>
      </c>
      <c r="P11" s="133">
        <f t="shared" si="13"/>
        <v>0.97931034482758617</v>
      </c>
      <c r="Q11" s="528">
        <v>169</v>
      </c>
      <c r="R11" s="528">
        <v>1</v>
      </c>
      <c r="S11" s="84">
        <v>2165293</v>
      </c>
      <c r="T11" s="24">
        <f t="shared" ref="T11:T23" si="19">SUM(U11:V11)</f>
        <v>1494793</v>
      </c>
      <c r="U11" s="84">
        <v>1480000</v>
      </c>
      <c r="V11" s="84">
        <v>14793</v>
      </c>
      <c r="W11" s="135">
        <f t="shared" si="14"/>
        <v>9.8963535419285473E-3</v>
      </c>
    </row>
    <row r="12" spans="1:220">
      <c r="A12" s="15">
        <v>2013</v>
      </c>
      <c r="B12" s="528">
        <v>11</v>
      </c>
      <c r="C12" s="528">
        <v>5</v>
      </c>
      <c r="D12" s="23">
        <f>B12+C12</f>
        <v>16</v>
      </c>
      <c r="E12" s="82">
        <f t="shared" si="15"/>
        <v>22</v>
      </c>
      <c r="F12" s="82">
        <f t="shared" si="16"/>
        <v>15</v>
      </c>
      <c r="G12" s="85"/>
      <c r="H12" s="85"/>
      <c r="I12" s="527">
        <v>66</v>
      </c>
      <c r="J12" s="528">
        <v>260</v>
      </c>
      <c r="K12" s="23">
        <f t="shared" si="17"/>
        <v>326</v>
      </c>
      <c r="L12" s="527">
        <v>175</v>
      </c>
      <c r="M12" s="82">
        <f t="shared" si="18"/>
        <v>241</v>
      </c>
      <c r="N12" s="528">
        <v>113</v>
      </c>
      <c r="O12" s="528">
        <v>243</v>
      </c>
      <c r="P12" s="133">
        <f t="shared" si="13"/>
        <v>0.99176954732510292</v>
      </c>
      <c r="Q12" s="528">
        <v>156</v>
      </c>
      <c r="R12" s="528">
        <v>0</v>
      </c>
      <c r="S12" s="84">
        <v>2075770</v>
      </c>
      <c r="T12" s="24">
        <f t="shared" si="19"/>
        <v>1448400</v>
      </c>
      <c r="U12" s="84">
        <v>1438500</v>
      </c>
      <c r="V12" s="84">
        <v>9900</v>
      </c>
      <c r="W12" s="135">
        <f t="shared" si="14"/>
        <v>6.8351284175642091E-3</v>
      </c>
    </row>
    <row r="13" spans="1:220">
      <c r="A13" s="15">
        <v>2012</v>
      </c>
      <c r="B13" s="528">
        <v>12</v>
      </c>
      <c r="C13" s="528">
        <v>7</v>
      </c>
      <c r="D13" s="23">
        <f>B13+C13</f>
        <v>19</v>
      </c>
      <c r="E13" s="82">
        <f t="shared" si="15"/>
        <v>19</v>
      </c>
      <c r="F13" s="82">
        <f t="shared" si="16"/>
        <v>12</v>
      </c>
      <c r="G13" s="85"/>
      <c r="H13" s="85"/>
      <c r="I13" s="527">
        <v>27</v>
      </c>
      <c r="J13" s="528">
        <v>398</v>
      </c>
      <c r="K13" s="23">
        <f t="shared" si="17"/>
        <v>425</v>
      </c>
      <c r="L13" s="527">
        <v>196</v>
      </c>
      <c r="M13" s="82">
        <f t="shared" si="18"/>
        <v>223</v>
      </c>
      <c r="N13" s="528">
        <v>72</v>
      </c>
      <c r="O13" s="528">
        <v>224</v>
      </c>
      <c r="P13" s="133">
        <f t="shared" si="13"/>
        <v>0.9955357142857143</v>
      </c>
      <c r="Q13" s="528">
        <v>181</v>
      </c>
      <c r="R13" s="528">
        <v>0</v>
      </c>
      <c r="S13" s="84">
        <v>2015761</v>
      </c>
      <c r="T13" s="24">
        <f t="shared" si="19"/>
        <v>1406518</v>
      </c>
      <c r="U13" s="84">
        <v>1396668</v>
      </c>
      <c r="V13" s="84">
        <v>9850</v>
      </c>
      <c r="W13" s="135">
        <f t="shared" si="14"/>
        <v>7.0031098073398282E-3</v>
      </c>
    </row>
    <row r="14" spans="1:220">
      <c r="A14" s="15">
        <v>2011</v>
      </c>
      <c r="B14" s="528">
        <v>12</v>
      </c>
      <c r="C14" s="528">
        <v>5.25</v>
      </c>
      <c r="D14" s="23">
        <f t="shared" ref="D14:D23" si="20">SUM(B14:C14)</f>
        <v>17.25</v>
      </c>
      <c r="E14" s="82">
        <f t="shared" si="15"/>
        <v>18</v>
      </c>
      <c r="F14" s="82">
        <f t="shared" si="16"/>
        <v>12</v>
      </c>
      <c r="G14" s="85"/>
      <c r="H14" s="85"/>
      <c r="I14" s="527">
        <v>36</v>
      </c>
      <c r="J14" s="528">
        <v>438</v>
      </c>
      <c r="K14" s="23">
        <f t="shared" si="17"/>
        <v>474</v>
      </c>
      <c r="L14" s="527">
        <v>176</v>
      </c>
      <c r="M14" s="82">
        <f t="shared" si="18"/>
        <v>212</v>
      </c>
      <c r="N14" s="528">
        <v>43</v>
      </c>
      <c r="O14" s="528">
        <v>213</v>
      </c>
      <c r="P14" s="133">
        <f t="shared" si="13"/>
        <v>0.99530516431924887</v>
      </c>
      <c r="Q14" s="528">
        <v>185</v>
      </c>
      <c r="R14" s="528">
        <v>0</v>
      </c>
      <c r="S14" s="84">
        <v>2078187</v>
      </c>
      <c r="T14" s="24">
        <f t="shared" si="19"/>
        <v>1973284</v>
      </c>
      <c r="U14" s="84">
        <v>1969484</v>
      </c>
      <c r="V14" s="84">
        <v>3800</v>
      </c>
      <c r="W14" s="135">
        <f t="shared" si="14"/>
        <v>1.9257238187711449E-3</v>
      </c>
    </row>
    <row r="15" spans="1:220">
      <c r="A15" s="15">
        <v>2010</v>
      </c>
      <c r="B15" s="528">
        <v>12</v>
      </c>
      <c r="C15" s="528">
        <v>6.3</v>
      </c>
      <c r="D15" s="23">
        <f t="shared" si="20"/>
        <v>18.3</v>
      </c>
      <c r="E15" s="82">
        <f t="shared" si="15"/>
        <v>25</v>
      </c>
      <c r="F15" s="82">
        <f t="shared" si="16"/>
        <v>17</v>
      </c>
      <c r="G15" s="85"/>
      <c r="H15" s="85"/>
      <c r="I15" s="527">
        <v>62</v>
      </c>
      <c r="J15" s="528">
        <v>481</v>
      </c>
      <c r="K15" s="23">
        <f t="shared" si="17"/>
        <v>543</v>
      </c>
      <c r="L15" s="527">
        <v>240.5</v>
      </c>
      <c r="M15" s="82">
        <f t="shared" si="18"/>
        <v>302.5</v>
      </c>
      <c r="N15" s="528">
        <v>36</v>
      </c>
      <c r="O15" s="528">
        <v>302.5</v>
      </c>
      <c r="P15" s="133">
        <f t="shared" si="13"/>
        <v>1</v>
      </c>
      <c r="Q15" s="528">
        <v>190</v>
      </c>
      <c r="R15" s="528">
        <v>0</v>
      </c>
      <c r="S15" s="84">
        <v>1582033</v>
      </c>
      <c r="T15" s="24">
        <f t="shared" si="19"/>
        <v>1512020</v>
      </c>
      <c r="U15" s="84">
        <v>1512020</v>
      </c>
      <c r="V15" s="84">
        <v>0</v>
      </c>
      <c r="W15" s="135">
        <f t="shared" si="14"/>
        <v>0</v>
      </c>
    </row>
    <row r="16" spans="1:220">
      <c r="A16" s="15">
        <v>2009</v>
      </c>
      <c r="B16" s="528">
        <v>13</v>
      </c>
      <c r="C16" s="528">
        <v>7.3</v>
      </c>
      <c r="D16" s="23">
        <f t="shared" si="20"/>
        <v>20.3</v>
      </c>
      <c r="E16" s="82">
        <f t="shared" si="15"/>
        <v>22</v>
      </c>
      <c r="F16" s="82">
        <f t="shared" si="16"/>
        <v>14</v>
      </c>
      <c r="G16" s="85"/>
      <c r="H16" s="85"/>
      <c r="I16" s="528">
        <v>53</v>
      </c>
      <c r="J16" s="528">
        <v>482</v>
      </c>
      <c r="K16" s="23">
        <f t="shared" si="17"/>
        <v>535</v>
      </c>
      <c r="L16" s="528">
        <v>229.5</v>
      </c>
      <c r="M16" s="82">
        <f t="shared" si="18"/>
        <v>282.5</v>
      </c>
      <c r="N16" s="528">
        <v>128</v>
      </c>
      <c r="O16" s="528">
        <v>283.5</v>
      </c>
      <c r="P16" s="133">
        <f t="shared" si="13"/>
        <v>0.99647266313932981</v>
      </c>
      <c r="Q16" s="528">
        <v>161</v>
      </c>
      <c r="R16" s="528">
        <v>0</v>
      </c>
      <c r="S16" s="84">
        <v>1740168</v>
      </c>
      <c r="T16" s="24">
        <f t="shared" si="19"/>
        <v>1747309</v>
      </c>
      <c r="U16" s="84">
        <v>1734103</v>
      </c>
      <c r="V16" s="84">
        <v>13206</v>
      </c>
      <c r="W16" s="135">
        <f t="shared" si="14"/>
        <v>7.5579076167981733E-3</v>
      </c>
    </row>
    <row r="17" spans="1:24">
      <c r="A17" s="15">
        <v>2008</v>
      </c>
      <c r="B17" s="528">
        <v>13</v>
      </c>
      <c r="C17" s="528">
        <v>5</v>
      </c>
      <c r="D17" s="23">
        <f t="shared" si="20"/>
        <v>18</v>
      </c>
      <c r="E17" s="82">
        <f t="shared" si="15"/>
        <v>19</v>
      </c>
      <c r="F17" s="82">
        <f t="shared" si="16"/>
        <v>14</v>
      </c>
      <c r="G17" s="85"/>
      <c r="H17" s="85"/>
      <c r="I17" s="528">
        <v>47</v>
      </c>
      <c r="J17" s="528">
        <v>453</v>
      </c>
      <c r="K17" s="23">
        <f t="shared" si="17"/>
        <v>500</v>
      </c>
      <c r="L17" s="528">
        <v>195.5</v>
      </c>
      <c r="M17" s="82">
        <f t="shared" si="18"/>
        <v>242.5</v>
      </c>
      <c r="N17" s="528">
        <v>118</v>
      </c>
      <c r="O17" s="528">
        <v>243</v>
      </c>
      <c r="P17" s="133">
        <f t="shared" si="13"/>
        <v>0.99794238683127567</v>
      </c>
      <c r="Q17" s="528">
        <v>166</v>
      </c>
      <c r="R17" s="528">
        <v>0</v>
      </c>
      <c r="S17" s="84">
        <v>1534561</v>
      </c>
      <c r="T17" s="24">
        <f t="shared" si="19"/>
        <v>1542228</v>
      </c>
      <c r="U17" s="84">
        <v>1534561</v>
      </c>
      <c r="V17" s="84">
        <v>7667</v>
      </c>
      <c r="W17" s="135">
        <f t="shared" si="14"/>
        <v>4.9713790697614099E-3</v>
      </c>
    </row>
    <row r="18" spans="1:24">
      <c r="A18" s="15">
        <v>2007</v>
      </c>
      <c r="B18" s="528">
        <v>13</v>
      </c>
      <c r="C18" s="528">
        <v>4.3</v>
      </c>
      <c r="D18" s="82">
        <f t="shared" si="20"/>
        <v>17.3</v>
      </c>
      <c r="E18" s="82">
        <f t="shared" si="15"/>
        <v>18</v>
      </c>
      <c r="F18" s="82">
        <f t="shared" si="16"/>
        <v>13</v>
      </c>
      <c r="G18" s="85"/>
      <c r="H18" s="85"/>
      <c r="I18" s="528">
        <v>29</v>
      </c>
      <c r="J18" s="528">
        <v>455</v>
      </c>
      <c r="K18" s="23">
        <v>484</v>
      </c>
      <c r="L18" s="528">
        <v>199.5</v>
      </c>
      <c r="M18" s="82">
        <f t="shared" si="18"/>
        <v>228.5</v>
      </c>
      <c r="N18" s="528">
        <v>162</v>
      </c>
      <c r="O18" s="528">
        <v>232</v>
      </c>
      <c r="P18" s="133">
        <f t="shared" si="13"/>
        <v>0.98491379310344829</v>
      </c>
      <c r="Q18" s="528">
        <v>156</v>
      </c>
      <c r="R18" s="528">
        <v>0</v>
      </c>
      <c r="S18" s="132">
        <v>1533251.9</v>
      </c>
      <c r="T18" s="24">
        <f t="shared" si="19"/>
        <v>1533252</v>
      </c>
      <c r="U18" s="132">
        <v>1526912</v>
      </c>
      <c r="V18" s="148">
        <v>6340</v>
      </c>
      <c r="W18" s="135">
        <f t="shared" si="14"/>
        <v>4.1350019435813555E-3</v>
      </c>
      <c r="X18" s="59"/>
    </row>
    <row r="19" spans="1:24">
      <c r="A19" s="15">
        <v>2006</v>
      </c>
      <c r="B19" s="528">
        <v>11</v>
      </c>
      <c r="C19" s="528">
        <v>5</v>
      </c>
      <c r="D19" s="82">
        <f t="shared" si="20"/>
        <v>16</v>
      </c>
      <c r="E19" s="82">
        <f t="shared" si="15"/>
        <v>21</v>
      </c>
      <c r="F19" s="82">
        <f t="shared" si="16"/>
        <v>14</v>
      </c>
      <c r="G19" s="85"/>
      <c r="H19" s="85"/>
      <c r="I19" s="528">
        <v>31</v>
      </c>
      <c r="J19" s="528">
        <v>445</v>
      </c>
      <c r="K19" s="23">
        <f>SUM(I19:J19)</f>
        <v>476</v>
      </c>
      <c r="L19" s="528">
        <v>194</v>
      </c>
      <c r="M19" s="82">
        <f t="shared" si="18"/>
        <v>225</v>
      </c>
      <c r="N19" s="528">
        <v>91</v>
      </c>
      <c r="O19" s="528">
        <v>228</v>
      </c>
      <c r="P19" s="133">
        <f t="shared" si="13"/>
        <v>0.98684210526315785</v>
      </c>
      <c r="Q19" s="528">
        <v>147</v>
      </c>
      <c r="R19" s="528">
        <v>0</v>
      </c>
      <c r="S19" s="204">
        <v>1271196.99</v>
      </c>
      <c r="T19" s="24">
        <f t="shared" si="19"/>
        <v>1271196.99</v>
      </c>
      <c r="U19" s="132">
        <v>1264946.99</v>
      </c>
      <c r="V19" s="132">
        <v>6250</v>
      </c>
      <c r="W19" s="135">
        <f t="shared" si="14"/>
        <v>4.9166258645719418E-3</v>
      </c>
      <c r="X19" s="59"/>
    </row>
    <row r="20" spans="1:24">
      <c r="A20" s="15">
        <v>2005</v>
      </c>
      <c r="B20" s="528">
        <v>11</v>
      </c>
      <c r="C20" s="528">
        <v>5</v>
      </c>
      <c r="D20" s="82">
        <f t="shared" si="20"/>
        <v>16</v>
      </c>
      <c r="E20" s="82">
        <f t="shared" si="15"/>
        <v>22</v>
      </c>
      <c r="F20" s="82">
        <f t="shared" si="16"/>
        <v>15</v>
      </c>
      <c r="G20" s="85"/>
      <c r="H20" s="85"/>
      <c r="I20" s="528">
        <v>26</v>
      </c>
      <c r="J20" s="528">
        <v>496</v>
      </c>
      <c r="K20" s="23">
        <f>SUM(I20:J20)</f>
        <v>522</v>
      </c>
      <c r="L20" s="528">
        <v>208</v>
      </c>
      <c r="M20" s="82">
        <f t="shared" si="18"/>
        <v>234</v>
      </c>
      <c r="N20" s="528">
        <v>106</v>
      </c>
      <c r="O20" s="528">
        <v>238</v>
      </c>
      <c r="P20" s="133">
        <f t="shared" si="13"/>
        <v>0.98319327731092432</v>
      </c>
      <c r="Q20" s="528">
        <v>142</v>
      </c>
      <c r="R20" s="528">
        <v>0</v>
      </c>
      <c r="S20" s="204">
        <v>1277492.31</v>
      </c>
      <c r="T20" s="24">
        <f t="shared" si="19"/>
        <v>1277492.19</v>
      </c>
      <c r="U20" s="132">
        <v>1271183.19</v>
      </c>
      <c r="V20" s="132">
        <v>6309</v>
      </c>
      <c r="W20" s="135">
        <f t="shared" si="14"/>
        <v>4.9385820511356707E-3</v>
      </c>
      <c r="X20" s="59"/>
    </row>
    <row r="21" spans="1:24">
      <c r="A21" s="15">
        <v>2004</v>
      </c>
      <c r="B21" s="528">
        <v>13</v>
      </c>
      <c r="C21" s="528">
        <v>3</v>
      </c>
      <c r="D21" s="82">
        <f t="shared" si="20"/>
        <v>16</v>
      </c>
      <c r="E21" s="82">
        <f t="shared" si="15"/>
        <v>18</v>
      </c>
      <c r="F21" s="82">
        <f t="shared" si="16"/>
        <v>15</v>
      </c>
      <c r="G21" s="85"/>
      <c r="H21" s="85"/>
      <c r="I21" s="528">
        <v>38</v>
      </c>
      <c r="J21" s="528">
        <v>455</v>
      </c>
      <c r="K21" s="23">
        <f>SUM(I21:J21)</f>
        <v>493</v>
      </c>
      <c r="L21" s="528">
        <v>195.5</v>
      </c>
      <c r="M21" s="82">
        <f t="shared" si="18"/>
        <v>233.5</v>
      </c>
      <c r="N21" s="528">
        <v>89</v>
      </c>
      <c r="O21" s="528">
        <v>235</v>
      </c>
      <c r="P21" s="133">
        <f t="shared" si="13"/>
        <v>0.99361702127659579</v>
      </c>
      <c r="Q21" s="528">
        <v>166</v>
      </c>
      <c r="R21" s="528">
        <v>0</v>
      </c>
      <c r="S21" s="132">
        <v>1249898.9099999999</v>
      </c>
      <c r="T21" s="24">
        <f t="shared" si="19"/>
        <v>1249898.9099999999</v>
      </c>
      <c r="U21" s="132">
        <v>1242998.9099999999</v>
      </c>
      <c r="V21" s="132">
        <v>6900</v>
      </c>
      <c r="W21" s="135">
        <f t="shared" si="14"/>
        <v>5.5204464495452682E-3</v>
      </c>
    </row>
    <row r="22" spans="1:24">
      <c r="A22" s="15">
        <v>2003</v>
      </c>
      <c r="B22" s="528">
        <v>13</v>
      </c>
      <c r="C22" s="528">
        <v>2</v>
      </c>
      <c r="D22" s="23">
        <f t="shared" si="20"/>
        <v>15</v>
      </c>
      <c r="E22" s="82">
        <f t="shared" si="15"/>
        <v>20</v>
      </c>
      <c r="F22" s="82">
        <f t="shared" si="16"/>
        <v>17</v>
      </c>
      <c r="G22" s="85"/>
      <c r="H22" s="85"/>
      <c r="I22" s="528">
        <v>44</v>
      </c>
      <c r="J22" s="528">
        <v>458</v>
      </c>
      <c r="K22" s="23">
        <f>SUM(I22:J22)</f>
        <v>502</v>
      </c>
      <c r="L22" s="528">
        <v>214</v>
      </c>
      <c r="M22" s="82">
        <f t="shared" si="18"/>
        <v>258</v>
      </c>
      <c r="N22" s="528">
        <v>100</v>
      </c>
      <c r="O22" s="528">
        <v>258</v>
      </c>
      <c r="P22" s="133">
        <f t="shared" si="13"/>
        <v>1</v>
      </c>
      <c r="Q22" s="528">
        <v>47</v>
      </c>
      <c r="R22" s="528">
        <v>143</v>
      </c>
      <c r="S22" s="132">
        <v>1297470</v>
      </c>
      <c r="T22" s="24">
        <f t="shared" si="19"/>
        <v>1299220</v>
      </c>
      <c r="U22" s="132">
        <v>1294970</v>
      </c>
      <c r="V22" s="132">
        <v>4250</v>
      </c>
      <c r="W22" s="135">
        <f t="shared" si="14"/>
        <v>3.2711934853219622E-3</v>
      </c>
    </row>
    <row r="23" spans="1:24">
      <c r="A23" s="15">
        <v>2002</v>
      </c>
      <c r="B23" s="528">
        <v>12</v>
      </c>
      <c r="C23" s="528">
        <v>2</v>
      </c>
      <c r="D23" s="23">
        <f t="shared" si="20"/>
        <v>14</v>
      </c>
      <c r="E23" s="82">
        <f t="shared" si="15"/>
        <v>20</v>
      </c>
      <c r="F23" s="82">
        <f t="shared" si="16"/>
        <v>17</v>
      </c>
      <c r="G23" s="85"/>
      <c r="H23" s="85"/>
      <c r="I23" s="528">
        <v>41</v>
      </c>
      <c r="J23" s="528">
        <v>435</v>
      </c>
      <c r="K23" s="23">
        <f>SUM(I23:J23)</f>
        <v>476</v>
      </c>
      <c r="L23" s="528">
        <f>ROUND(199.5, 0)</f>
        <v>200</v>
      </c>
      <c r="M23" s="82">
        <f t="shared" si="18"/>
        <v>241</v>
      </c>
      <c r="N23" s="528">
        <v>68</v>
      </c>
      <c r="O23" s="528">
        <f>ROUND(242.5, 0)</f>
        <v>243</v>
      </c>
      <c r="P23" s="133">
        <f t="shared" si="13"/>
        <v>0.99176954732510292</v>
      </c>
      <c r="Q23" s="528">
        <v>124</v>
      </c>
      <c r="R23" s="528">
        <v>0</v>
      </c>
      <c r="S23" s="132">
        <v>1118426</v>
      </c>
      <c r="T23" s="24">
        <f t="shared" si="19"/>
        <v>1121576</v>
      </c>
      <c r="U23" s="132">
        <v>1115926</v>
      </c>
      <c r="V23" s="132">
        <v>5650</v>
      </c>
      <c r="W23" s="135">
        <f t="shared" si="14"/>
        <v>5.0375542985941213E-3</v>
      </c>
    </row>
    <row r="24" spans="1:24">
      <c r="A24" s="537" t="s">
        <v>174</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4" s="101" customFormat="1" ht="16.149999999999999" customHeight="1">
      <c r="A25" s="550" t="s">
        <v>175</v>
      </c>
      <c r="B25" s="550"/>
      <c r="C25" s="550"/>
      <c r="D25" s="550"/>
      <c r="E25" s="550"/>
      <c r="F25" s="550"/>
      <c r="G25" s="550"/>
      <c r="H25" s="550"/>
      <c r="I25" s="538"/>
      <c r="J25" s="538"/>
      <c r="K25" s="538"/>
      <c r="L25" s="538"/>
      <c r="M25" s="538"/>
      <c r="N25" s="538"/>
      <c r="O25" s="538"/>
      <c r="P25" s="538"/>
      <c r="Q25" s="538"/>
      <c r="R25" s="538"/>
      <c r="S25" s="538"/>
      <c r="T25" s="538"/>
      <c r="U25" s="538"/>
      <c r="V25" s="538"/>
      <c r="W25" s="538"/>
    </row>
    <row r="26" spans="1:24" ht="28.15" customHeight="1">
      <c r="A26" s="538" t="s">
        <v>176</v>
      </c>
      <c r="B26" s="538"/>
      <c r="C26" s="538"/>
      <c r="D26" s="538"/>
      <c r="E26" s="538"/>
      <c r="F26" s="538"/>
      <c r="G26" s="538"/>
      <c r="H26" s="538"/>
      <c r="I26" s="538"/>
      <c r="J26" s="538"/>
      <c r="K26" s="538"/>
      <c r="L26" s="538"/>
      <c r="M26" s="538"/>
      <c r="N26" s="538"/>
      <c r="O26" s="538"/>
      <c r="P26" s="538"/>
      <c r="Q26" s="538"/>
      <c r="R26" s="538"/>
      <c r="S26" s="538"/>
      <c r="T26" s="538"/>
      <c r="U26" s="538"/>
      <c r="V26" s="538"/>
      <c r="W26" s="538"/>
    </row>
    <row r="28" spans="1:24" s="12" customFormat="1"/>
    <row r="29" spans="1:24" s="12" customFormat="1"/>
    <row r="30" spans="1:24" s="12" customFormat="1"/>
    <row r="31" spans="1:24" s="12" customFormat="1"/>
    <row r="32" spans="1:24" s="12" customFormat="1"/>
    <row r="33" s="12" customFormat="1"/>
    <row r="34" s="12" customFormat="1"/>
    <row r="35" s="12" customFormat="1"/>
  </sheetData>
  <mergeCells count="3">
    <mergeCell ref="A24:W24"/>
    <mergeCell ref="A25:W25"/>
    <mergeCell ref="A26:W26"/>
  </mergeCells>
  <printOptions headings="1" gridLines="1"/>
  <pageMargins left="0.5" right="0.5" top="0.5" bottom="0.5" header="0" footer="0"/>
  <pageSetup paperSize="5" scale="64" orientation="landscape"/>
  <legacyDrawing r:id="rId1"/>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HL34"/>
  <sheetViews>
    <sheetView zoomScaleNormal="100" workbookViewId="0">
      <selection activeCell="Y8" sqref="Y8"/>
    </sheetView>
  </sheetViews>
  <sheetFormatPr defaultColWidth="8.85546875" defaultRowHeight="15"/>
  <cols>
    <col min="1" max="1" width="10.710937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3" width="13.140625" bestFit="1" customWidth="1"/>
    <col min="14" max="14" width="11.28515625"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7109375" bestFit="1" customWidth="1"/>
    <col min="22" max="22" width="10.85546875" bestFit="1" customWidth="1"/>
    <col min="23" max="23" width="12.85546875" bestFit="1" customWidth="1"/>
  </cols>
  <sheetData>
    <row r="1" spans="1:220" s="7" customFormat="1" ht="18.75">
      <c r="A1" s="1" t="s">
        <v>177</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9" customFormat="1">
      <c r="A3" s="10">
        <v>2022</v>
      </c>
      <c r="B3" s="54">
        <v>6</v>
      </c>
      <c r="C3" s="54">
        <v>2</v>
      </c>
      <c r="D3" s="19">
        <v>8</v>
      </c>
      <c r="E3" s="19">
        <v>13</v>
      </c>
      <c r="F3" s="19">
        <v>9.81</v>
      </c>
      <c r="G3" s="54">
        <v>6</v>
      </c>
      <c r="H3" s="54">
        <v>0.5</v>
      </c>
      <c r="I3" s="54">
        <v>31</v>
      </c>
      <c r="J3" s="54">
        <v>95</v>
      </c>
      <c r="K3" s="19">
        <v>126</v>
      </c>
      <c r="L3" s="54">
        <v>47.5</v>
      </c>
      <c r="M3" s="19">
        <v>78.5</v>
      </c>
      <c r="N3" s="54">
        <v>17</v>
      </c>
      <c r="O3" s="54">
        <v>78.5</v>
      </c>
      <c r="P3" s="412">
        <v>1</v>
      </c>
      <c r="Q3" s="54">
        <v>37</v>
      </c>
      <c r="R3" s="54">
        <v>0</v>
      </c>
      <c r="S3" s="61">
        <v>650654</v>
      </c>
      <c r="T3" s="497">
        <v>710939</v>
      </c>
      <c r="U3" s="61">
        <v>680654</v>
      </c>
      <c r="V3" s="61">
        <v>30285</v>
      </c>
      <c r="W3" s="385">
        <v>4.65E-2</v>
      </c>
    </row>
    <row r="4" spans="1:220" s="16" customFormat="1">
      <c r="A4" s="105">
        <v>2021</v>
      </c>
      <c r="B4" s="54">
        <v>5</v>
      </c>
      <c r="C4" s="54">
        <v>2</v>
      </c>
      <c r="D4" s="19">
        <v>7</v>
      </c>
      <c r="E4" s="19">
        <v>14</v>
      </c>
      <c r="F4" s="19">
        <v>10</v>
      </c>
      <c r="G4" s="54">
        <v>5</v>
      </c>
      <c r="H4" s="54">
        <v>0.5</v>
      </c>
      <c r="I4" s="54">
        <v>33</v>
      </c>
      <c r="J4" s="54">
        <v>74</v>
      </c>
      <c r="K4" s="19">
        <v>107</v>
      </c>
      <c r="L4" s="54">
        <v>37</v>
      </c>
      <c r="M4" s="19">
        <v>70</v>
      </c>
      <c r="N4" s="54">
        <v>7</v>
      </c>
      <c r="O4" s="54">
        <v>70</v>
      </c>
      <c r="P4" s="412">
        <v>1</v>
      </c>
      <c r="Q4" s="54">
        <v>45</v>
      </c>
      <c r="R4" s="54">
        <v>0</v>
      </c>
      <c r="S4" s="61">
        <v>693700</v>
      </c>
      <c r="T4" s="413">
        <v>748468.38</v>
      </c>
      <c r="U4" s="61">
        <v>748468.38</v>
      </c>
      <c r="V4" s="61">
        <v>0</v>
      </c>
      <c r="W4" s="385">
        <v>0</v>
      </c>
    </row>
    <row r="5" spans="1:220" s="16" customFormat="1">
      <c r="A5" s="105">
        <v>2020</v>
      </c>
      <c r="B5" s="54">
        <v>5</v>
      </c>
      <c r="C5" s="54">
        <v>1</v>
      </c>
      <c r="D5" s="19">
        <v>6</v>
      </c>
      <c r="E5" s="19">
        <v>11</v>
      </c>
      <c r="F5" s="19">
        <v>9</v>
      </c>
      <c r="G5" s="54">
        <v>5</v>
      </c>
      <c r="H5" s="54">
        <v>1</v>
      </c>
      <c r="I5" s="54">
        <v>20</v>
      </c>
      <c r="J5" s="54">
        <v>71</v>
      </c>
      <c r="K5" s="19">
        <v>91</v>
      </c>
      <c r="L5" s="54">
        <v>35</v>
      </c>
      <c r="M5" s="19">
        <v>55</v>
      </c>
      <c r="N5" s="54">
        <v>2</v>
      </c>
      <c r="O5" s="54">
        <v>55</v>
      </c>
      <c r="P5" s="412">
        <v>1</v>
      </c>
      <c r="Q5" s="54">
        <v>33</v>
      </c>
      <c r="R5" s="54">
        <v>0</v>
      </c>
      <c r="S5" s="61">
        <v>687828</v>
      </c>
      <c r="T5" s="413">
        <v>742446</v>
      </c>
      <c r="U5" s="61">
        <v>707828</v>
      </c>
      <c r="V5" s="61">
        <v>34618</v>
      </c>
      <c r="W5" s="385">
        <v>4.07E-2</v>
      </c>
    </row>
    <row r="6" spans="1:220" s="16" customFormat="1">
      <c r="A6" s="105">
        <v>2019</v>
      </c>
      <c r="B6" s="66">
        <v>5</v>
      </c>
      <c r="C6" s="66">
        <v>1</v>
      </c>
      <c r="D6" s="106">
        <v>6</v>
      </c>
      <c r="E6" s="106">
        <v>15</v>
      </c>
      <c r="F6" s="106">
        <v>13</v>
      </c>
      <c r="G6" s="66">
        <v>5</v>
      </c>
      <c r="H6" s="66">
        <v>1</v>
      </c>
      <c r="I6" s="66">
        <v>18</v>
      </c>
      <c r="J6" s="66">
        <v>89</v>
      </c>
      <c r="K6" s="106">
        <v>107</v>
      </c>
      <c r="L6" s="66">
        <v>58</v>
      </c>
      <c r="M6" s="106">
        <v>76</v>
      </c>
      <c r="N6" s="66">
        <v>8</v>
      </c>
      <c r="O6" s="66">
        <v>76</v>
      </c>
      <c r="P6" s="354">
        <v>1</v>
      </c>
      <c r="Q6" s="66">
        <v>37</v>
      </c>
      <c r="R6" s="66">
        <v>0</v>
      </c>
      <c r="S6" s="352">
        <v>672246</v>
      </c>
      <c r="T6" s="414">
        <v>740763</v>
      </c>
      <c r="U6" s="326">
        <v>740684</v>
      </c>
      <c r="V6" s="326">
        <v>79000</v>
      </c>
      <c r="W6" s="303">
        <v>9.3700000000000006E-2</v>
      </c>
    </row>
    <row r="7" spans="1:220" s="14" customFormat="1">
      <c r="A7" s="10">
        <v>2018</v>
      </c>
      <c r="B7" s="17">
        <v>5</v>
      </c>
      <c r="C7" s="17">
        <v>0.75</v>
      </c>
      <c r="D7" s="23">
        <f>SUM(B7:C7)</f>
        <v>5.75</v>
      </c>
      <c r="E7" s="82">
        <f>ROUND((O7/B7), 0)</f>
        <v>12</v>
      </c>
      <c r="F7" s="82">
        <f>ROUND((O7/D7), 0)</f>
        <v>11</v>
      </c>
      <c r="G7" s="17">
        <v>5</v>
      </c>
      <c r="H7" s="17">
        <v>0.75</v>
      </c>
      <c r="I7" s="17">
        <v>26</v>
      </c>
      <c r="J7" s="17">
        <v>74</v>
      </c>
      <c r="K7" s="23">
        <f t="shared" ref="K7" si="0">SUM(I7:J7)</f>
        <v>100</v>
      </c>
      <c r="L7" s="17">
        <v>36</v>
      </c>
      <c r="M7" s="82">
        <f>(I7+L7)</f>
        <v>62</v>
      </c>
      <c r="N7" s="17">
        <v>8</v>
      </c>
      <c r="O7" s="17">
        <v>62</v>
      </c>
      <c r="P7" s="133">
        <f>M7/O7</f>
        <v>1</v>
      </c>
      <c r="Q7" s="17">
        <v>38</v>
      </c>
      <c r="R7" s="17">
        <v>0</v>
      </c>
      <c r="S7" s="20">
        <v>517789</v>
      </c>
      <c r="T7" s="24">
        <f>SUM(U7:V7)</f>
        <v>595737</v>
      </c>
      <c r="U7" s="20">
        <v>431737</v>
      </c>
      <c r="V7" s="20">
        <v>164000</v>
      </c>
      <c r="W7" s="135">
        <f>V7/T7</f>
        <v>0.2752892635508622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5</v>
      </c>
      <c r="C8" s="17">
        <v>0.5</v>
      </c>
      <c r="D8" s="27">
        <f>SUM(B8:C8)</f>
        <v>5.5</v>
      </c>
      <c r="E8" s="27">
        <f>ROUND((O8/B8), 0)</f>
        <v>12</v>
      </c>
      <c r="F8" s="27">
        <f>ROUND((O8/D8), 0)</f>
        <v>11</v>
      </c>
      <c r="G8" s="17">
        <v>5</v>
      </c>
      <c r="H8" s="17">
        <v>0.5</v>
      </c>
      <c r="I8" s="17">
        <v>17</v>
      </c>
      <c r="J8" s="17">
        <v>85</v>
      </c>
      <c r="K8" s="27">
        <f>SUM(I8:J8)</f>
        <v>102</v>
      </c>
      <c r="L8" s="17">
        <v>43</v>
      </c>
      <c r="M8" s="29">
        <f>(I8+L8)</f>
        <v>60</v>
      </c>
      <c r="N8" s="255">
        <v>9</v>
      </c>
      <c r="O8" s="255">
        <v>60</v>
      </c>
      <c r="P8" s="133">
        <f t="shared" ref="P8:P23" si="1">M8/O8</f>
        <v>1</v>
      </c>
      <c r="Q8" s="17">
        <v>41</v>
      </c>
      <c r="R8" s="17">
        <v>0</v>
      </c>
      <c r="S8" s="223">
        <v>676354.97</v>
      </c>
      <c r="T8" s="28">
        <f>SUM(U8:V8)</f>
        <v>674302.33</v>
      </c>
      <c r="U8" s="252">
        <v>433671.72</v>
      </c>
      <c r="V8" s="20">
        <v>240630.61</v>
      </c>
      <c r="W8" s="135">
        <f t="shared" ref="W8:W23" si="2">V8/T8</f>
        <v>0.35685863639237314</v>
      </c>
    </row>
    <row r="9" spans="1:220" s="72" customFormat="1">
      <c r="A9" s="10">
        <v>2016</v>
      </c>
      <c r="B9" s="54">
        <v>5</v>
      </c>
      <c r="C9" s="54">
        <v>0.63</v>
      </c>
      <c r="D9" s="23">
        <f>SUM(B9:C9)</f>
        <v>5.63</v>
      </c>
      <c r="E9" s="82">
        <f>ROUND((O9/B9), 0)</f>
        <v>20</v>
      </c>
      <c r="F9" s="82">
        <f>ROUND((O9/D9), 0)</f>
        <v>17</v>
      </c>
      <c r="G9" s="54">
        <v>5</v>
      </c>
      <c r="H9" s="54">
        <v>0.63</v>
      </c>
      <c r="I9" s="54">
        <v>31</v>
      </c>
      <c r="J9" s="54">
        <v>71</v>
      </c>
      <c r="K9" s="23">
        <f>SUM(I9:J9)</f>
        <v>102</v>
      </c>
      <c r="L9" s="54">
        <v>66.599999999999994</v>
      </c>
      <c r="M9" s="82">
        <f>(I9+L9)</f>
        <v>97.6</v>
      </c>
      <c r="N9" s="54">
        <v>4</v>
      </c>
      <c r="O9" s="54">
        <v>98</v>
      </c>
      <c r="P9" s="133">
        <f t="shared" si="1"/>
        <v>0.99591836734693873</v>
      </c>
      <c r="Q9" s="54">
        <v>31</v>
      </c>
      <c r="R9" s="54">
        <v>0</v>
      </c>
      <c r="S9" s="55">
        <v>509093</v>
      </c>
      <c r="T9" s="24">
        <f>SUM(U9:V9)</f>
        <v>907984</v>
      </c>
      <c r="U9" s="55">
        <v>468984</v>
      </c>
      <c r="V9" s="55">
        <v>439000</v>
      </c>
      <c r="W9" s="135">
        <f t="shared" si="2"/>
        <v>0.48348869583604998</v>
      </c>
    </row>
    <row r="10" spans="1:220">
      <c r="A10" s="57">
        <v>2015</v>
      </c>
      <c r="B10" s="70">
        <v>3</v>
      </c>
      <c r="C10" s="70">
        <v>0.63</v>
      </c>
      <c r="D10" s="65">
        <v>3.63</v>
      </c>
      <c r="E10" s="65">
        <v>32</v>
      </c>
      <c r="F10" s="65">
        <v>26.4</v>
      </c>
      <c r="G10" s="83"/>
      <c r="H10" s="83"/>
      <c r="I10" s="70">
        <v>27</v>
      </c>
      <c r="J10" s="70">
        <v>81</v>
      </c>
      <c r="K10" s="65">
        <v>108</v>
      </c>
      <c r="L10" s="70">
        <v>69</v>
      </c>
      <c r="M10" s="65">
        <v>96</v>
      </c>
      <c r="N10" s="70">
        <v>3</v>
      </c>
      <c r="O10" s="70">
        <v>96</v>
      </c>
      <c r="P10" s="133">
        <f t="shared" si="1"/>
        <v>1</v>
      </c>
      <c r="Q10" s="70">
        <v>42</v>
      </c>
      <c r="R10" s="70">
        <v>0</v>
      </c>
      <c r="S10" s="78">
        <v>527075</v>
      </c>
      <c r="T10" s="79">
        <v>931155</v>
      </c>
      <c r="U10" s="78">
        <v>388155</v>
      </c>
      <c r="V10" s="78">
        <v>543000</v>
      </c>
      <c r="W10" s="135">
        <f t="shared" si="2"/>
        <v>0.58314673711680654</v>
      </c>
    </row>
    <row r="11" spans="1:220">
      <c r="A11" s="15">
        <v>2014</v>
      </c>
      <c r="B11" s="531">
        <v>5</v>
      </c>
      <c r="C11" s="531">
        <v>0.63</v>
      </c>
      <c r="D11" s="214">
        <v>5.63</v>
      </c>
      <c r="E11" s="215">
        <v>13</v>
      </c>
      <c r="F11" s="215">
        <v>11</v>
      </c>
      <c r="G11" s="83"/>
      <c r="H11" s="83"/>
      <c r="I11" s="531">
        <v>31</v>
      </c>
      <c r="J11" s="531">
        <v>67</v>
      </c>
      <c r="K11" s="214">
        <v>98</v>
      </c>
      <c r="L11" s="531">
        <v>32.99</v>
      </c>
      <c r="M11" s="215">
        <v>64</v>
      </c>
      <c r="N11" s="531">
        <v>4</v>
      </c>
      <c r="O11" s="531">
        <v>64</v>
      </c>
      <c r="P11" s="133">
        <f t="shared" si="1"/>
        <v>1</v>
      </c>
      <c r="Q11" s="531">
        <v>40</v>
      </c>
      <c r="R11" s="531">
        <v>0</v>
      </c>
      <c r="S11" s="216">
        <v>426880</v>
      </c>
      <c r="T11" s="217">
        <v>426932</v>
      </c>
      <c r="U11" s="216">
        <v>383199</v>
      </c>
      <c r="V11" s="216">
        <v>43733</v>
      </c>
      <c r="W11" s="135">
        <f t="shared" si="2"/>
        <v>0.10243551666307515</v>
      </c>
    </row>
    <row r="12" spans="1:220">
      <c r="A12" s="81" t="s">
        <v>34</v>
      </c>
      <c r="B12" s="195">
        <v>5</v>
      </c>
      <c r="C12" s="195">
        <v>0.75</v>
      </c>
      <c r="D12" s="218">
        <v>5.75</v>
      </c>
      <c r="E12" s="219">
        <v>16</v>
      </c>
      <c r="F12" s="219">
        <v>13</v>
      </c>
      <c r="G12" s="85"/>
      <c r="H12" s="85"/>
      <c r="I12" s="195">
        <v>22</v>
      </c>
      <c r="J12" s="195">
        <v>83</v>
      </c>
      <c r="K12" s="218">
        <v>105</v>
      </c>
      <c r="L12" s="195">
        <v>55.61</v>
      </c>
      <c r="M12" s="219">
        <v>78</v>
      </c>
      <c r="N12" s="195">
        <v>2</v>
      </c>
      <c r="O12" s="195">
        <v>77.61</v>
      </c>
      <c r="P12" s="133">
        <f t="shared" si="1"/>
        <v>1.0050251256281406</v>
      </c>
      <c r="Q12" s="195">
        <v>58</v>
      </c>
      <c r="R12" s="195">
        <v>0</v>
      </c>
      <c r="S12" s="197">
        <v>571057</v>
      </c>
      <c r="T12" s="220">
        <v>606138</v>
      </c>
      <c r="U12" s="197">
        <v>585267</v>
      </c>
      <c r="V12" s="197">
        <v>20871</v>
      </c>
      <c r="W12" s="135">
        <f t="shared" si="2"/>
        <v>3.4432752937449886E-2</v>
      </c>
    </row>
    <row r="13" spans="1:220">
      <c r="A13" s="81" t="s">
        <v>25</v>
      </c>
      <c r="B13" s="195">
        <v>5</v>
      </c>
      <c r="C13" s="195">
        <v>2.2999999999999998</v>
      </c>
      <c r="D13" s="218">
        <v>7.3</v>
      </c>
      <c r="E13" s="219">
        <v>13</v>
      </c>
      <c r="F13" s="219">
        <v>9</v>
      </c>
      <c r="G13" s="85"/>
      <c r="H13" s="85"/>
      <c r="I13" s="195">
        <v>26</v>
      </c>
      <c r="J13" s="195">
        <v>78</v>
      </c>
      <c r="K13" s="218">
        <v>104</v>
      </c>
      <c r="L13" s="195">
        <v>37</v>
      </c>
      <c r="M13" s="219">
        <v>63</v>
      </c>
      <c r="N13" s="195">
        <v>6</v>
      </c>
      <c r="O13" s="195">
        <v>63</v>
      </c>
      <c r="P13" s="133">
        <f t="shared" si="1"/>
        <v>1</v>
      </c>
      <c r="Q13" s="195">
        <v>58</v>
      </c>
      <c r="R13" s="195">
        <v>0</v>
      </c>
      <c r="S13" s="197">
        <v>868757</v>
      </c>
      <c r="T13" s="220">
        <v>876353</v>
      </c>
      <c r="U13" s="197">
        <v>803471</v>
      </c>
      <c r="V13" s="197">
        <v>72882</v>
      </c>
      <c r="W13" s="135">
        <f t="shared" si="2"/>
        <v>8.3165117252979107E-2</v>
      </c>
    </row>
    <row r="14" spans="1:220">
      <c r="A14" s="81" t="s">
        <v>26</v>
      </c>
      <c r="B14" s="195">
        <v>4</v>
      </c>
      <c r="C14" s="195">
        <v>3</v>
      </c>
      <c r="D14" s="218">
        <v>7</v>
      </c>
      <c r="E14" s="219">
        <v>23</v>
      </c>
      <c r="F14" s="219">
        <v>13</v>
      </c>
      <c r="G14" s="85"/>
      <c r="H14" s="85"/>
      <c r="I14" s="195">
        <v>37</v>
      </c>
      <c r="J14" s="195">
        <v>97</v>
      </c>
      <c r="K14" s="218">
        <v>134</v>
      </c>
      <c r="L14" s="195">
        <v>47.33</v>
      </c>
      <c r="M14" s="219">
        <v>84</v>
      </c>
      <c r="N14" s="195">
        <v>4</v>
      </c>
      <c r="O14" s="195">
        <v>91.66</v>
      </c>
      <c r="P14" s="133">
        <f t="shared" si="1"/>
        <v>0.91643028583897013</v>
      </c>
      <c r="Q14" s="195">
        <v>49</v>
      </c>
      <c r="R14" s="195">
        <v>0</v>
      </c>
      <c r="S14" s="197">
        <v>1033847</v>
      </c>
      <c r="T14" s="220">
        <v>1028387</v>
      </c>
      <c r="U14" s="197">
        <v>985844</v>
      </c>
      <c r="V14" s="197">
        <v>42543</v>
      </c>
      <c r="W14" s="135">
        <f t="shared" si="2"/>
        <v>4.1368667631932338E-2</v>
      </c>
    </row>
    <row r="15" spans="1:220">
      <c r="A15" s="81" t="s">
        <v>27</v>
      </c>
      <c r="B15" s="195">
        <v>6</v>
      </c>
      <c r="C15" s="195">
        <v>3.33</v>
      </c>
      <c r="D15" s="218">
        <v>9.33</v>
      </c>
      <c r="E15" s="219">
        <v>18</v>
      </c>
      <c r="F15" s="219">
        <v>11</v>
      </c>
      <c r="G15" s="85"/>
      <c r="H15" s="85"/>
      <c r="I15" s="195">
        <v>51</v>
      </c>
      <c r="J15" s="195">
        <v>104</v>
      </c>
      <c r="K15" s="218">
        <v>155</v>
      </c>
      <c r="L15" s="195">
        <v>48.78</v>
      </c>
      <c r="M15" s="219">
        <v>100</v>
      </c>
      <c r="N15" s="195">
        <v>3</v>
      </c>
      <c r="O15" s="195">
        <v>105.11</v>
      </c>
      <c r="P15" s="133">
        <f t="shared" si="1"/>
        <v>0.95138426410427168</v>
      </c>
      <c r="Q15" s="195">
        <v>75</v>
      </c>
      <c r="R15" s="195">
        <v>0</v>
      </c>
      <c r="S15" s="197">
        <v>1119690</v>
      </c>
      <c r="T15" s="220">
        <v>1121851</v>
      </c>
      <c r="U15" s="197">
        <v>1096848</v>
      </c>
      <c r="V15" s="197">
        <v>25003</v>
      </c>
      <c r="W15" s="135">
        <f t="shared" si="2"/>
        <v>2.2287273443621299E-2</v>
      </c>
    </row>
    <row r="16" spans="1:220">
      <c r="A16" s="81" t="s">
        <v>28</v>
      </c>
      <c r="B16" s="195">
        <v>7</v>
      </c>
      <c r="C16" s="195">
        <v>3.25</v>
      </c>
      <c r="D16" s="218">
        <v>10.25</v>
      </c>
      <c r="E16" s="219">
        <v>18</v>
      </c>
      <c r="F16" s="219">
        <v>12</v>
      </c>
      <c r="G16" s="85"/>
      <c r="H16" s="85"/>
      <c r="I16" s="195">
        <v>51</v>
      </c>
      <c r="J16" s="195">
        <v>121</v>
      </c>
      <c r="K16" s="218">
        <v>172</v>
      </c>
      <c r="L16" s="195">
        <v>64.67</v>
      </c>
      <c r="M16" s="219">
        <v>116</v>
      </c>
      <c r="N16" s="195">
        <v>4</v>
      </c>
      <c r="O16" s="195">
        <v>127</v>
      </c>
      <c r="P16" s="133">
        <f t="shared" si="1"/>
        <v>0.91338582677165359</v>
      </c>
      <c r="Q16" s="195">
        <v>74</v>
      </c>
      <c r="R16" s="195">
        <v>0</v>
      </c>
      <c r="S16" s="197">
        <v>1166268</v>
      </c>
      <c r="T16" s="220">
        <v>1166268</v>
      </c>
      <c r="U16" s="197">
        <v>1129740</v>
      </c>
      <c r="V16" s="197">
        <v>36528</v>
      </c>
      <c r="W16" s="135">
        <f t="shared" si="2"/>
        <v>3.1320416919610246E-2</v>
      </c>
    </row>
    <row r="17" spans="1:23">
      <c r="A17" s="81" t="s">
        <v>29</v>
      </c>
      <c r="B17" s="195">
        <v>8</v>
      </c>
      <c r="C17" s="195">
        <v>3</v>
      </c>
      <c r="D17" s="218">
        <v>11</v>
      </c>
      <c r="E17" s="219">
        <v>17</v>
      </c>
      <c r="F17" s="219">
        <v>13</v>
      </c>
      <c r="G17" s="85"/>
      <c r="H17" s="85"/>
      <c r="I17" s="195">
        <v>64</v>
      </c>
      <c r="J17" s="195">
        <v>138</v>
      </c>
      <c r="K17" s="218">
        <v>202</v>
      </c>
      <c r="L17" s="195">
        <v>66.67</v>
      </c>
      <c r="M17" s="219">
        <v>131</v>
      </c>
      <c r="N17" s="195">
        <v>4</v>
      </c>
      <c r="O17" s="195">
        <v>139</v>
      </c>
      <c r="P17" s="133">
        <f t="shared" si="1"/>
        <v>0.94244604316546765</v>
      </c>
      <c r="Q17" s="195">
        <v>68</v>
      </c>
      <c r="R17" s="195">
        <v>0</v>
      </c>
      <c r="S17" s="197">
        <v>1365769</v>
      </c>
      <c r="T17" s="220">
        <v>1375442</v>
      </c>
      <c r="U17" s="197">
        <v>1132932</v>
      </c>
      <c r="V17" s="197">
        <v>242510</v>
      </c>
      <c r="W17" s="135">
        <f t="shared" si="2"/>
        <v>0.17631423207957878</v>
      </c>
    </row>
    <row r="18" spans="1:23">
      <c r="A18" s="81">
        <v>2007</v>
      </c>
      <c r="B18" s="195">
        <v>8</v>
      </c>
      <c r="C18" s="195">
        <v>3.33</v>
      </c>
      <c r="D18" s="218">
        <v>11.33</v>
      </c>
      <c r="E18" s="219">
        <v>17</v>
      </c>
      <c r="F18" s="219">
        <v>12</v>
      </c>
      <c r="G18" s="85"/>
      <c r="H18" s="85"/>
      <c r="I18" s="195">
        <v>58</v>
      </c>
      <c r="J18" s="195">
        <v>157</v>
      </c>
      <c r="K18" s="218">
        <v>215</v>
      </c>
      <c r="L18" s="195">
        <v>79</v>
      </c>
      <c r="M18" s="219">
        <v>137</v>
      </c>
      <c r="N18" s="195">
        <v>10</v>
      </c>
      <c r="O18" s="195">
        <v>138.33000000000001</v>
      </c>
      <c r="P18" s="133">
        <f t="shared" si="1"/>
        <v>0.99038531048940925</v>
      </c>
      <c r="Q18" s="195">
        <v>58</v>
      </c>
      <c r="R18" s="195">
        <v>0</v>
      </c>
      <c r="S18" s="201">
        <v>1193826</v>
      </c>
      <c r="T18" s="220">
        <v>1253214</v>
      </c>
      <c r="U18" s="201">
        <v>1087926</v>
      </c>
      <c r="V18" s="201">
        <v>165288</v>
      </c>
      <c r="W18" s="135">
        <f t="shared" si="2"/>
        <v>0.13189128113793813</v>
      </c>
    </row>
    <row r="19" spans="1:23">
      <c r="A19" s="81">
        <v>2006</v>
      </c>
      <c r="B19" s="195">
        <v>7</v>
      </c>
      <c r="C19" s="195">
        <v>3</v>
      </c>
      <c r="D19" s="218">
        <v>10</v>
      </c>
      <c r="E19" s="219">
        <v>14</v>
      </c>
      <c r="F19" s="219">
        <v>10</v>
      </c>
      <c r="G19" s="85"/>
      <c r="H19" s="85"/>
      <c r="I19" s="195">
        <v>36</v>
      </c>
      <c r="J19" s="195">
        <v>125</v>
      </c>
      <c r="K19" s="218">
        <v>161</v>
      </c>
      <c r="L19" s="195">
        <v>62</v>
      </c>
      <c r="M19" s="219">
        <v>98</v>
      </c>
      <c r="N19" s="195">
        <v>8</v>
      </c>
      <c r="O19" s="195">
        <v>99</v>
      </c>
      <c r="P19" s="133">
        <f t="shared" si="1"/>
        <v>0.98989898989898994</v>
      </c>
      <c r="Q19" s="195">
        <v>63</v>
      </c>
      <c r="R19" s="195">
        <v>1</v>
      </c>
      <c r="S19" s="201">
        <v>1101729</v>
      </c>
      <c r="T19" s="220">
        <v>1117906</v>
      </c>
      <c r="U19" s="201">
        <v>1012549</v>
      </c>
      <c r="V19" s="201">
        <v>105357</v>
      </c>
      <c r="W19" s="135">
        <f t="shared" si="2"/>
        <v>9.4244954405826614E-2</v>
      </c>
    </row>
    <row r="20" spans="1:23">
      <c r="A20" s="81">
        <v>2005</v>
      </c>
      <c r="B20" s="195">
        <v>8</v>
      </c>
      <c r="C20" s="195">
        <v>3</v>
      </c>
      <c r="D20" s="218">
        <v>11</v>
      </c>
      <c r="E20" s="219">
        <v>12</v>
      </c>
      <c r="F20" s="219">
        <v>9</v>
      </c>
      <c r="G20" s="85"/>
      <c r="H20" s="85"/>
      <c r="I20" s="195">
        <v>42</v>
      </c>
      <c r="J20" s="195">
        <v>110</v>
      </c>
      <c r="K20" s="218">
        <v>152</v>
      </c>
      <c r="L20" s="195">
        <v>53</v>
      </c>
      <c r="M20" s="219">
        <v>95</v>
      </c>
      <c r="N20" s="195">
        <v>3</v>
      </c>
      <c r="O20" s="195">
        <v>95</v>
      </c>
      <c r="P20" s="133">
        <f t="shared" si="1"/>
        <v>1</v>
      </c>
      <c r="Q20" s="195">
        <v>74</v>
      </c>
      <c r="R20" s="195">
        <v>4</v>
      </c>
      <c r="S20" s="201">
        <v>1014173</v>
      </c>
      <c r="T20" s="220">
        <v>1021457</v>
      </c>
      <c r="U20" s="201">
        <v>928247</v>
      </c>
      <c r="V20" s="201">
        <v>93210</v>
      </c>
      <c r="W20" s="135">
        <f t="shared" si="2"/>
        <v>9.1252005713407414E-2</v>
      </c>
    </row>
    <row r="21" spans="1:23">
      <c r="A21" s="81">
        <v>2004</v>
      </c>
      <c r="B21" s="195">
        <v>8</v>
      </c>
      <c r="C21" s="195">
        <v>3</v>
      </c>
      <c r="D21" s="218">
        <v>11</v>
      </c>
      <c r="E21" s="219">
        <v>12</v>
      </c>
      <c r="F21" s="219">
        <v>9</v>
      </c>
      <c r="G21" s="85"/>
      <c r="H21" s="85"/>
      <c r="I21" s="195">
        <v>51</v>
      </c>
      <c r="J21" s="195">
        <v>133</v>
      </c>
      <c r="K21" s="218">
        <v>184</v>
      </c>
      <c r="L21" s="195">
        <v>44</v>
      </c>
      <c r="M21" s="219">
        <v>95</v>
      </c>
      <c r="N21" s="195">
        <v>8</v>
      </c>
      <c r="O21" s="195">
        <v>97</v>
      </c>
      <c r="P21" s="133">
        <f t="shared" si="1"/>
        <v>0.97938144329896903</v>
      </c>
      <c r="Q21" s="195">
        <v>77</v>
      </c>
      <c r="R21" s="195">
        <v>2</v>
      </c>
      <c r="S21" s="201">
        <v>1014173</v>
      </c>
      <c r="T21" s="220">
        <v>1021457</v>
      </c>
      <c r="U21" s="201">
        <v>928247</v>
      </c>
      <c r="V21" s="201">
        <v>93210</v>
      </c>
      <c r="W21" s="135">
        <f t="shared" si="2"/>
        <v>9.1252005713407414E-2</v>
      </c>
    </row>
    <row r="22" spans="1:23">
      <c r="A22" s="81">
        <v>2003</v>
      </c>
      <c r="B22" s="195">
        <v>8</v>
      </c>
      <c r="C22" s="195">
        <v>3</v>
      </c>
      <c r="D22" s="218">
        <v>11</v>
      </c>
      <c r="E22" s="219">
        <v>18</v>
      </c>
      <c r="F22" s="219">
        <v>13</v>
      </c>
      <c r="G22" s="85"/>
      <c r="H22" s="85"/>
      <c r="I22" s="195">
        <v>51</v>
      </c>
      <c r="J22" s="195">
        <v>155</v>
      </c>
      <c r="K22" s="218">
        <v>206</v>
      </c>
      <c r="L22" s="195">
        <v>75</v>
      </c>
      <c r="M22" s="219">
        <v>126</v>
      </c>
      <c r="N22" s="195">
        <v>12</v>
      </c>
      <c r="O22" s="195">
        <v>141</v>
      </c>
      <c r="P22" s="133">
        <f t="shared" si="1"/>
        <v>0.8936170212765957</v>
      </c>
      <c r="Q22" s="195">
        <v>0</v>
      </c>
      <c r="R22" s="195">
        <v>76</v>
      </c>
      <c r="S22" s="201">
        <v>989899</v>
      </c>
      <c r="T22" s="220">
        <v>991490</v>
      </c>
      <c r="U22" s="201">
        <v>888807</v>
      </c>
      <c r="V22" s="201">
        <v>102683</v>
      </c>
      <c r="W22" s="135">
        <f t="shared" si="2"/>
        <v>0.10356433246931386</v>
      </c>
    </row>
    <row r="23" spans="1:23">
      <c r="A23" s="81">
        <v>2002</v>
      </c>
      <c r="B23" s="195">
        <v>10</v>
      </c>
      <c r="C23" s="195">
        <v>3</v>
      </c>
      <c r="D23" s="218">
        <v>13</v>
      </c>
      <c r="E23" s="219">
        <v>14</v>
      </c>
      <c r="F23" s="219">
        <v>11</v>
      </c>
      <c r="G23" s="85"/>
      <c r="H23" s="85"/>
      <c r="I23" s="195">
        <v>44</v>
      </c>
      <c r="J23" s="195">
        <v>162</v>
      </c>
      <c r="K23" s="218">
        <v>206</v>
      </c>
      <c r="L23" s="195">
        <v>76</v>
      </c>
      <c r="M23" s="219">
        <v>120</v>
      </c>
      <c r="N23" s="195">
        <v>8</v>
      </c>
      <c r="O23" s="195">
        <v>142</v>
      </c>
      <c r="P23" s="133">
        <f t="shared" si="1"/>
        <v>0.84507042253521125</v>
      </c>
      <c r="Q23" s="195">
        <v>83</v>
      </c>
      <c r="R23" s="195">
        <v>0</v>
      </c>
      <c r="S23" s="201">
        <v>1074823</v>
      </c>
      <c r="T23" s="220">
        <v>1096894</v>
      </c>
      <c r="U23" s="201">
        <v>863855</v>
      </c>
      <c r="V23" s="201">
        <v>233039</v>
      </c>
      <c r="W23" s="135">
        <f t="shared" si="2"/>
        <v>0.21245352787051439</v>
      </c>
    </row>
    <row r="24" spans="1:23" s="12" customFormat="1"/>
    <row r="25" spans="1:23" s="12" customFormat="1"/>
    <row r="26" spans="1:23" s="12" customFormat="1"/>
    <row r="27" spans="1:23" s="12" customFormat="1"/>
    <row r="28" spans="1:23" s="12" customFormat="1"/>
    <row r="29" spans="1:23" s="12" customFormat="1"/>
    <row r="30" spans="1:23" s="12" customFormat="1"/>
    <row r="31" spans="1:23" s="12" customFormat="1"/>
    <row r="32" spans="1:23" s="12" customFormat="1"/>
    <row r="33" s="12" customFormat="1"/>
    <row r="34" s="12" customFormat="1"/>
  </sheetData>
  <printOptions headings="1" gridLines="1"/>
  <pageMargins left="0.5" right="0.5" top="0.5" bottom="0.5" header="0" footer="0"/>
  <pageSetup paperSize="5" scale="61" orientation="landscape" r:id="rId1"/>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HL26"/>
  <sheetViews>
    <sheetView workbookViewId="0">
      <selection activeCell="G6" sqref="G6"/>
    </sheetView>
  </sheetViews>
  <sheetFormatPr defaultColWidth="8.85546875" defaultRowHeight="15"/>
  <cols>
    <col min="1" max="1" width="11.8554687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3" width="13.140625" bestFit="1" customWidth="1"/>
    <col min="14" max="14" width="10.7109375" customWidth="1"/>
    <col min="15" max="15" width="13.42578125" bestFit="1" customWidth="1"/>
    <col min="16" max="16" width="14.28515625" customWidth="1"/>
    <col min="17" max="17" width="10.28515625" customWidth="1"/>
    <col min="18" max="18" width="9" bestFit="1" customWidth="1"/>
    <col min="19" max="19" width="12" bestFit="1" customWidth="1"/>
    <col min="20" max="20" width="13" bestFit="1" customWidth="1"/>
    <col min="21" max="21" width="11.140625" bestFit="1" customWidth="1"/>
    <col min="22" max="22" width="11" bestFit="1" customWidth="1"/>
    <col min="23" max="23" width="12.85546875" bestFit="1" customWidth="1"/>
  </cols>
  <sheetData>
    <row r="1" spans="1:220" s="7" customFormat="1" ht="18.75">
      <c r="A1" s="1" t="s">
        <v>178</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80" customFormat="1">
      <c r="A3" s="105">
        <v>2022</v>
      </c>
      <c r="B3" s="17">
        <v>25</v>
      </c>
      <c r="C3" s="17">
        <v>20.75</v>
      </c>
      <c r="D3" s="106">
        <v>45.75</v>
      </c>
      <c r="E3" s="13">
        <f t="shared" ref="E3" si="0">ROUND((O3/B3), 0)</f>
        <v>27</v>
      </c>
      <c r="F3" s="13">
        <f t="shared" ref="F3" si="1">ROUND((O3/D3), 0)</f>
        <v>15</v>
      </c>
      <c r="G3" s="17">
        <v>22</v>
      </c>
      <c r="H3" s="17">
        <v>5.5</v>
      </c>
      <c r="I3" s="17">
        <v>110</v>
      </c>
      <c r="J3" s="17">
        <v>266</v>
      </c>
      <c r="K3" s="65">
        <f t="shared" ref="K3" si="2">SUM(I3:J3)</f>
        <v>376</v>
      </c>
      <c r="L3" s="17">
        <v>96</v>
      </c>
      <c r="M3" s="13">
        <f t="shared" ref="M3" si="3">(I3+L3)</f>
        <v>206</v>
      </c>
      <c r="N3" s="17">
        <v>95</v>
      </c>
      <c r="O3" s="17">
        <v>664</v>
      </c>
      <c r="P3" s="134">
        <f t="shared" ref="P3" si="4">M3/O3</f>
        <v>0.31024096385542171</v>
      </c>
      <c r="Q3" s="17">
        <v>198</v>
      </c>
      <c r="R3" s="17">
        <v>422</v>
      </c>
      <c r="S3" s="20">
        <v>13358772</v>
      </c>
      <c r="T3" s="68">
        <f t="shared" ref="T3" si="5">SUM(U3:V3)</f>
        <v>13738342</v>
      </c>
      <c r="U3" s="20">
        <v>13249190</v>
      </c>
      <c r="V3" s="20">
        <v>489152</v>
      </c>
      <c r="W3" s="135">
        <f t="shared" ref="W3" si="6">V3/T3</f>
        <v>3.5604878667309346E-2</v>
      </c>
    </row>
    <row r="4" spans="1:220" s="14" customFormat="1">
      <c r="A4" s="10">
        <v>2021</v>
      </c>
      <c r="B4" s="17">
        <v>27</v>
      </c>
      <c r="C4" s="17">
        <v>23.25</v>
      </c>
      <c r="D4" s="23">
        <v>50.25</v>
      </c>
      <c r="E4" s="82">
        <f t="shared" ref="E4" si="7">ROUND((O4/B4), 0)</f>
        <v>28</v>
      </c>
      <c r="F4" s="82">
        <f t="shared" ref="F4" si="8">ROUND((O4/D4), 0)</f>
        <v>15</v>
      </c>
      <c r="G4" s="17">
        <v>27</v>
      </c>
      <c r="H4" s="17">
        <v>7</v>
      </c>
      <c r="I4" s="17">
        <v>140</v>
      </c>
      <c r="J4" s="17">
        <v>330</v>
      </c>
      <c r="K4" s="23">
        <f t="shared" ref="K4" si="9">SUM(I4:J4)</f>
        <v>470</v>
      </c>
      <c r="L4" s="17">
        <v>119</v>
      </c>
      <c r="M4" s="82">
        <f t="shared" ref="M4" si="10">(I4+L4)</f>
        <v>259</v>
      </c>
      <c r="N4" s="17">
        <v>120</v>
      </c>
      <c r="O4" s="17">
        <v>764</v>
      </c>
      <c r="P4" s="133">
        <f t="shared" ref="P4" si="11">M4/O4</f>
        <v>0.33900523560209422</v>
      </c>
      <c r="Q4" s="17">
        <v>189</v>
      </c>
      <c r="R4" s="17">
        <v>516</v>
      </c>
      <c r="S4" s="20">
        <v>12345433</v>
      </c>
      <c r="T4" s="24">
        <f t="shared" ref="T4" si="12">SUM(U4:V4)</f>
        <v>16249989</v>
      </c>
      <c r="U4" s="20">
        <v>15689997</v>
      </c>
      <c r="V4" s="20">
        <v>559992</v>
      </c>
      <c r="W4" s="135">
        <f t="shared" ref="W4" si="13">V4/T4</f>
        <v>3.446106948133934E-2</v>
      </c>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row>
    <row r="5" spans="1:220" s="14" customFormat="1">
      <c r="A5" s="10">
        <v>2020</v>
      </c>
      <c r="B5" s="17">
        <v>23</v>
      </c>
      <c r="C5" s="17">
        <v>22.75</v>
      </c>
      <c r="D5" s="23">
        <f>SUM(B5:C5)</f>
        <v>45.75</v>
      </c>
      <c r="E5" s="82">
        <f>ROUND((O5/B5), 0)</f>
        <v>38</v>
      </c>
      <c r="F5" s="82">
        <f>ROUND((O5/D5), 0)</f>
        <v>19</v>
      </c>
      <c r="G5" s="17">
        <v>23</v>
      </c>
      <c r="H5" s="17">
        <v>5.5</v>
      </c>
      <c r="I5" s="17">
        <v>140</v>
      </c>
      <c r="J5" s="17">
        <v>383</v>
      </c>
      <c r="K5" s="23">
        <v>521</v>
      </c>
      <c r="L5" s="17">
        <v>120</v>
      </c>
      <c r="M5" s="82">
        <v>260</v>
      </c>
      <c r="N5" s="17">
        <v>138</v>
      </c>
      <c r="O5" s="17">
        <v>872</v>
      </c>
      <c r="P5" s="133">
        <v>0.29799999999999999</v>
      </c>
      <c r="Q5" s="17">
        <v>156</v>
      </c>
      <c r="R5" s="17">
        <v>318</v>
      </c>
      <c r="S5" s="20">
        <v>12294508</v>
      </c>
      <c r="T5" s="24">
        <f>SUM(U5:V5)</f>
        <v>14454524</v>
      </c>
      <c r="U5" s="20">
        <v>13998350</v>
      </c>
      <c r="V5" s="20">
        <v>456174</v>
      </c>
      <c r="W5" s="135">
        <v>3.1600000000000003E-2</v>
      </c>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row>
    <row r="6" spans="1:220" s="14" customFormat="1">
      <c r="A6" s="10">
        <v>2019</v>
      </c>
      <c r="B6" s="17">
        <v>22</v>
      </c>
      <c r="C6" s="17">
        <v>26.5</v>
      </c>
      <c r="D6" s="23">
        <f>SUM(B6:C6)</f>
        <v>48.5</v>
      </c>
      <c r="E6" s="82">
        <f>ROUND((O6/B6), 0)</f>
        <v>41</v>
      </c>
      <c r="F6" s="82">
        <f>ROUND((O6/D6), 0)</f>
        <v>19</v>
      </c>
      <c r="G6" s="17">
        <v>22</v>
      </c>
      <c r="H6" s="17">
        <v>9.25</v>
      </c>
      <c r="I6" s="17">
        <v>139</v>
      </c>
      <c r="J6" s="17">
        <v>362</v>
      </c>
      <c r="K6" s="23">
        <f t="shared" ref="K6" si="14">SUM(I6:J6)</f>
        <v>501</v>
      </c>
      <c r="L6" s="17">
        <v>157</v>
      </c>
      <c r="M6" s="82">
        <f>(I6+L6)</f>
        <v>296</v>
      </c>
      <c r="N6" s="17">
        <v>133</v>
      </c>
      <c r="O6" s="17">
        <v>902</v>
      </c>
      <c r="P6" s="133">
        <f t="shared" ref="P6" si="15">M6/O6</f>
        <v>0.32815964523281599</v>
      </c>
      <c r="Q6" s="17">
        <v>158</v>
      </c>
      <c r="R6" s="17">
        <v>284</v>
      </c>
      <c r="S6" s="20">
        <v>12279099</v>
      </c>
      <c r="T6" s="24">
        <f>SUM(U6:V6)</f>
        <v>15073259</v>
      </c>
      <c r="U6" s="20">
        <v>13079891</v>
      </c>
      <c r="V6" s="20">
        <v>1993368</v>
      </c>
      <c r="W6" s="135">
        <f t="shared" ref="W6" si="16">V6/T6</f>
        <v>0.13224532266048106</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19</v>
      </c>
      <c r="C7" s="17">
        <v>29.5</v>
      </c>
      <c r="D7" s="23">
        <f>SUM(B7:C7)</f>
        <v>48.5</v>
      </c>
      <c r="E7" s="82">
        <f>ROUND((O7/B7), 0)</f>
        <v>53</v>
      </c>
      <c r="F7" s="82">
        <f>ROUND((O7/D7), 0)</f>
        <v>21</v>
      </c>
      <c r="G7" s="17">
        <v>19</v>
      </c>
      <c r="H7" s="17">
        <v>8.75</v>
      </c>
      <c r="I7" s="17">
        <v>142</v>
      </c>
      <c r="J7" s="17">
        <v>331</v>
      </c>
      <c r="K7" s="23">
        <f t="shared" ref="K7" si="17">SUM(I7:J7)</f>
        <v>473</v>
      </c>
      <c r="L7" s="17">
        <v>149</v>
      </c>
      <c r="M7" s="82">
        <f>(I7+L7)</f>
        <v>291</v>
      </c>
      <c r="N7" s="17">
        <v>132</v>
      </c>
      <c r="O7" s="17">
        <v>1013</v>
      </c>
      <c r="P7" s="133">
        <f>M7/O7</f>
        <v>0.28726554787759129</v>
      </c>
      <c r="Q7" s="17">
        <v>100</v>
      </c>
      <c r="R7" s="17">
        <v>343</v>
      </c>
      <c r="S7" s="20">
        <v>12087494</v>
      </c>
      <c r="T7" s="24">
        <f>SUM(U7:V7)</f>
        <v>12819784.770000001</v>
      </c>
      <c r="U7" s="20">
        <f>36628769*33%</f>
        <v>12087493.770000001</v>
      </c>
      <c r="V7" s="20">
        <v>732291</v>
      </c>
      <c r="W7" s="135">
        <f>V7/T7</f>
        <v>5.7121941837405737E-2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19</v>
      </c>
      <c r="C8" s="17">
        <v>21.5</v>
      </c>
      <c r="D8" s="27">
        <f>SUM(B8:C8)</f>
        <v>40.5</v>
      </c>
      <c r="E8" s="27">
        <f>ROUND((O8/B8), 0)</f>
        <v>64</v>
      </c>
      <c r="F8" s="27">
        <f>ROUND((O8/D8), 0)</f>
        <v>30</v>
      </c>
      <c r="G8" s="17">
        <v>19</v>
      </c>
      <c r="H8" s="17">
        <v>6.5</v>
      </c>
      <c r="I8" s="17">
        <v>122</v>
      </c>
      <c r="J8" s="17">
        <v>258</v>
      </c>
      <c r="K8" s="27">
        <f>SUM(I8:J8)</f>
        <v>380</v>
      </c>
      <c r="L8" s="17">
        <v>116</v>
      </c>
      <c r="M8" s="29">
        <f>(I8+L8)</f>
        <v>238</v>
      </c>
      <c r="N8" s="255">
        <v>105</v>
      </c>
      <c r="O8" s="255">
        <v>1210</v>
      </c>
      <c r="P8" s="133">
        <f t="shared" ref="P8:P23" si="18">M8/O8</f>
        <v>0.19669421487603306</v>
      </c>
      <c r="Q8" s="17">
        <v>94</v>
      </c>
      <c r="R8" s="17">
        <v>194</v>
      </c>
      <c r="S8" s="223">
        <v>8896822</v>
      </c>
      <c r="T8" s="28">
        <f>SUM(U8:V8)</f>
        <v>30086675</v>
      </c>
      <c r="U8" s="252">
        <v>30086675</v>
      </c>
      <c r="V8" s="20">
        <v>0</v>
      </c>
      <c r="W8" s="135">
        <f t="shared" ref="W8:W23" si="19">V8/T8</f>
        <v>0</v>
      </c>
    </row>
    <row r="9" spans="1:220" s="9" customFormat="1">
      <c r="A9" s="10">
        <v>2016</v>
      </c>
      <c r="B9" s="54">
        <v>20</v>
      </c>
      <c r="C9" s="54">
        <v>12</v>
      </c>
      <c r="D9" s="151">
        <f>B9+C9</f>
        <v>32</v>
      </c>
      <c r="E9" s="82">
        <f>ROUND((O9/B9), 0)</f>
        <v>47</v>
      </c>
      <c r="F9" s="82">
        <f>ROUND((O9/D9), 0)</f>
        <v>29</v>
      </c>
      <c r="G9" s="54">
        <v>20</v>
      </c>
      <c r="H9" s="54">
        <v>12</v>
      </c>
      <c r="I9" s="54">
        <v>73</v>
      </c>
      <c r="J9" s="54">
        <v>213</v>
      </c>
      <c r="K9" s="23">
        <f>I9+J9</f>
        <v>286</v>
      </c>
      <c r="L9" s="54">
        <v>96</v>
      </c>
      <c r="M9" s="82">
        <f>I9+L9</f>
        <v>169</v>
      </c>
      <c r="N9" s="54">
        <v>60</v>
      </c>
      <c r="O9" s="54">
        <v>938</v>
      </c>
      <c r="P9" s="133">
        <f t="shared" si="18"/>
        <v>0.18017057569296374</v>
      </c>
      <c r="Q9" s="54">
        <v>110</v>
      </c>
      <c r="R9" s="54">
        <v>325</v>
      </c>
      <c r="S9" s="55">
        <v>4758402</v>
      </c>
      <c r="T9" s="24">
        <f>SUM(U9:V9)</f>
        <v>28518358</v>
      </c>
      <c r="U9" s="55">
        <v>28518358</v>
      </c>
      <c r="V9" s="55">
        <v>0</v>
      </c>
      <c r="W9" s="135">
        <f t="shared" si="19"/>
        <v>0</v>
      </c>
    </row>
    <row r="10" spans="1:220" s="225" customFormat="1">
      <c r="A10" s="227">
        <v>2015</v>
      </c>
      <c r="B10" s="25">
        <v>21</v>
      </c>
      <c r="C10" s="25">
        <v>14</v>
      </c>
      <c r="D10" s="221">
        <v>35</v>
      </c>
      <c r="E10" s="221">
        <v>61.4</v>
      </c>
      <c r="F10" s="221">
        <v>36.799999999999997</v>
      </c>
      <c r="G10" s="222"/>
      <c r="H10" s="222"/>
      <c r="I10" s="25">
        <v>164</v>
      </c>
      <c r="J10" s="25">
        <v>241</v>
      </c>
      <c r="K10" s="221">
        <v>482</v>
      </c>
      <c r="L10" s="25">
        <v>76</v>
      </c>
      <c r="M10" s="221">
        <v>133</v>
      </c>
      <c r="N10" s="25">
        <v>37</v>
      </c>
      <c r="O10" s="25">
        <v>437</v>
      </c>
      <c r="P10" s="133">
        <f t="shared" si="18"/>
        <v>0.30434782608695654</v>
      </c>
      <c r="Q10" s="25">
        <v>108</v>
      </c>
      <c r="R10" s="25">
        <v>773</v>
      </c>
      <c r="S10" s="223">
        <v>6674773</v>
      </c>
      <c r="T10" s="224">
        <v>10402598</v>
      </c>
      <c r="U10" s="223">
        <v>9527490</v>
      </c>
      <c r="V10" s="223">
        <v>875108</v>
      </c>
      <c r="W10" s="135">
        <f t="shared" si="19"/>
        <v>8.4123985181394106E-2</v>
      </c>
    </row>
    <row r="11" spans="1:220" s="226" customFormat="1">
      <c r="A11" s="227">
        <v>2014</v>
      </c>
      <c r="B11" s="25">
        <v>21</v>
      </c>
      <c r="C11" s="25">
        <v>7</v>
      </c>
      <c r="D11" s="221">
        <v>28</v>
      </c>
      <c r="E11" s="221">
        <v>66.099999999999994</v>
      </c>
      <c r="F11" s="221">
        <v>49.6</v>
      </c>
      <c r="G11" s="222"/>
      <c r="H11" s="222"/>
      <c r="I11" s="25">
        <v>76</v>
      </c>
      <c r="J11" s="25">
        <v>205</v>
      </c>
      <c r="K11" s="221">
        <v>281</v>
      </c>
      <c r="L11" s="25">
        <v>96</v>
      </c>
      <c r="M11" s="221">
        <v>156</v>
      </c>
      <c r="N11" s="25">
        <v>47</v>
      </c>
      <c r="O11" s="25">
        <v>418</v>
      </c>
      <c r="P11" s="133">
        <f t="shared" si="18"/>
        <v>0.37320574162679426</v>
      </c>
      <c r="Q11" s="25">
        <v>122</v>
      </c>
      <c r="R11" s="25">
        <v>174</v>
      </c>
      <c r="S11" s="223">
        <v>5451049</v>
      </c>
      <c r="T11" s="224">
        <v>8939004</v>
      </c>
      <c r="U11" s="223">
        <v>8425788</v>
      </c>
      <c r="V11" s="223">
        <v>513216</v>
      </c>
      <c r="W11" s="135">
        <f t="shared" si="19"/>
        <v>5.7413107769053465E-2</v>
      </c>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row>
    <row r="12" spans="1:220">
      <c r="A12" s="15">
        <v>2013</v>
      </c>
      <c r="B12" s="528">
        <v>24</v>
      </c>
      <c r="C12" s="147">
        <v>8</v>
      </c>
      <c r="D12" s="151">
        <f>B12+C12</f>
        <v>32</v>
      </c>
      <c r="E12" s="82">
        <f t="shared" ref="E12:E23" si="20">ROUND((O12/B12), 0)</f>
        <v>24</v>
      </c>
      <c r="F12" s="82">
        <f t="shared" ref="F12:F23" si="21">ROUND((O12/D12), 0)</f>
        <v>18</v>
      </c>
      <c r="G12" s="85"/>
      <c r="H12" s="85"/>
      <c r="I12" s="528">
        <v>81</v>
      </c>
      <c r="J12" s="528">
        <v>223</v>
      </c>
      <c r="K12" s="23">
        <f>I12+J12</f>
        <v>304</v>
      </c>
      <c r="L12" s="528">
        <v>144</v>
      </c>
      <c r="M12" s="82">
        <f>I12+L12</f>
        <v>225</v>
      </c>
      <c r="N12" s="528">
        <v>10</v>
      </c>
      <c r="O12" s="528">
        <v>583</v>
      </c>
      <c r="P12" s="133">
        <f t="shared" si="18"/>
        <v>0.38593481989708406</v>
      </c>
      <c r="Q12" s="528">
        <v>158</v>
      </c>
      <c r="R12" s="528">
        <v>143</v>
      </c>
      <c r="S12" s="84">
        <v>9493556</v>
      </c>
      <c r="T12" s="24">
        <f t="shared" ref="T12:T23" si="22">SUM(U12:V12)</f>
        <v>10103524</v>
      </c>
      <c r="U12" s="55">
        <v>7919249</v>
      </c>
      <c r="V12" s="71">
        <v>2184275</v>
      </c>
      <c r="W12" s="135">
        <f t="shared" si="19"/>
        <v>0.21618942064174837</v>
      </c>
    </row>
    <row r="13" spans="1:220">
      <c r="A13" s="15">
        <v>2012</v>
      </c>
      <c r="B13" s="528">
        <v>24</v>
      </c>
      <c r="C13" s="147">
        <v>8</v>
      </c>
      <c r="D13" s="151">
        <f>B13+C13</f>
        <v>32</v>
      </c>
      <c r="E13" s="82">
        <f t="shared" si="20"/>
        <v>11</v>
      </c>
      <c r="F13" s="82">
        <f t="shared" si="21"/>
        <v>9</v>
      </c>
      <c r="G13" s="85"/>
      <c r="H13" s="85"/>
      <c r="I13" s="528">
        <v>110</v>
      </c>
      <c r="J13" s="528">
        <v>159</v>
      </c>
      <c r="K13" s="23">
        <f>I13+J13</f>
        <v>269</v>
      </c>
      <c r="L13" s="528">
        <v>135</v>
      </c>
      <c r="M13" s="82">
        <f>I13+L13</f>
        <v>245</v>
      </c>
      <c r="N13" s="528">
        <v>46</v>
      </c>
      <c r="O13" s="528">
        <v>272</v>
      </c>
      <c r="P13" s="133">
        <f t="shared" si="18"/>
        <v>0.90073529411764708</v>
      </c>
      <c r="Q13" s="528">
        <v>178</v>
      </c>
      <c r="R13" s="528">
        <v>105</v>
      </c>
      <c r="S13" s="84">
        <v>7152594</v>
      </c>
      <c r="T13" s="24">
        <f t="shared" si="22"/>
        <v>9225280</v>
      </c>
      <c r="U13" s="84">
        <v>7400485</v>
      </c>
      <c r="V13" s="84">
        <v>1824795</v>
      </c>
      <c r="W13" s="135">
        <f t="shared" si="19"/>
        <v>0.19780375229803324</v>
      </c>
    </row>
    <row r="14" spans="1:220">
      <c r="A14" s="15" t="s">
        <v>26</v>
      </c>
      <c r="B14" s="528">
        <v>24</v>
      </c>
      <c r="C14" s="147">
        <v>15.125</v>
      </c>
      <c r="D14" s="151">
        <f t="shared" ref="D14:D23" si="23">SUM(B14:C14)</f>
        <v>39.125</v>
      </c>
      <c r="E14" s="82">
        <f t="shared" si="20"/>
        <v>24</v>
      </c>
      <c r="F14" s="82">
        <f t="shared" si="21"/>
        <v>15</v>
      </c>
      <c r="G14" s="85"/>
      <c r="H14" s="85"/>
      <c r="I14" s="528">
        <v>125</v>
      </c>
      <c r="J14" s="528">
        <v>258</v>
      </c>
      <c r="K14" s="23">
        <f t="shared" ref="K14:K23" si="24">SUM(I14:J14)</f>
        <v>383</v>
      </c>
      <c r="L14" s="528">
        <v>173</v>
      </c>
      <c r="M14" s="82">
        <f t="shared" ref="M14:M23" si="25">(I14+L14)</f>
        <v>298</v>
      </c>
      <c r="N14" s="528">
        <v>69</v>
      </c>
      <c r="O14" s="528">
        <v>581</v>
      </c>
      <c r="P14" s="133">
        <f t="shared" si="18"/>
        <v>0.5129087779690189</v>
      </c>
      <c r="Q14" s="528">
        <v>157</v>
      </c>
      <c r="R14" s="528">
        <v>103</v>
      </c>
      <c r="S14" s="84">
        <v>4536737</v>
      </c>
      <c r="T14" s="24">
        <f t="shared" si="22"/>
        <v>4946931</v>
      </c>
      <c r="U14" s="84">
        <v>3920319</v>
      </c>
      <c r="V14" s="84">
        <v>1026612</v>
      </c>
      <c r="W14" s="135">
        <f t="shared" si="19"/>
        <v>0.20752502915443938</v>
      </c>
    </row>
    <row r="15" spans="1:220">
      <c r="A15" s="15" t="s">
        <v>27</v>
      </c>
      <c r="B15" s="528">
        <v>25</v>
      </c>
      <c r="C15" s="528">
        <v>9.75</v>
      </c>
      <c r="D15" s="23">
        <f t="shared" si="23"/>
        <v>34.75</v>
      </c>
      <c r="E15" s="82">
        <f t="shared" si="20"/>
        <v>23</v>
      </c>
      <c r="F15" s="82">
        <f t="shared" si="21"/>
        <v>16</v>
      </c>
      <c r="G15" s="85"/>
      <c r="H15" s="85"/>
      <c r="I15" s="528">
        <v>137</v>
      </c>
      <c r="J15" s="528">
        <v>267</v>
      </c>
      <c r="K15" s="23">
        <f t="shared" si="24"/>
        <v>404</v>
      </c>
      <c r="L15" s="528">
        <v>176.2</v>
      </c>
      <c r="M15" s="82">
        <f t="shared" si="25"/>
        <v>313.2</v>
      </c>
      <c r="N15" s="528">
        <v>68</v>
      </c>
      <c r="O15" s="528">
        <v>568.70000000000005</v>
      </c>
      <c r="P15" s="133">
        <f t="shared" si="18"/>
        <v>0.55072973448215223</v>
      </c>
      <c r="Q15" s="528">
        <v>180</v>
      </c>
      <c r="R15" s="528">
        <v>90</v>
      </c>
      <c r="S15" s="84">
        <v>5615710.1117000002</v>
      </c>
      <c r="T15" s="24">
        <f t="shared" si="22"/>
        <v>5864358</v>
      </c>
      <c r="U15" s="84">
        <v>4232200</v>
      </c>
      <c r="V15" s="84">
        <v>1632158</v>
      </c>
      <c r="W15" s="135">
        <f t="shared" si="19"/>
        <v>0.27831827456645725</v>
      </c>
    </row>
    <row r="16" spans="1:220">
      <c r="A16" s="15" t="s">
        <v>28</v>
      </c>
      <c r="B16" s="528">
        <v>23</v>
      </c>
      <c r="C16" s="528">
        <v>5.5</v>
      </c>
      <c r="D16" s="23">
        <f t="shared" si="23"/>
        <v>28.5</v>
      </c>
      <c r="E16" s="82">
        <f t="shared" si="20"/>
        <v>23</v>
      </c>
      <c r="F16" s="82">
        <f t="shared" si="21"/>
        <v>18</v>
      </c>
      <c r="G16" s="85"/>
      <c r="H16" s="85"/>
      <c r="I16" s="528">
        <v>129</v>
      </c>
      <c r="J16" s="528">
        <v>258</v>
      </c>
      <c r="K16" s="23">
        <f t="shared" si="24"/>
        <v>387</v>
      </c>
      <c r="L16" s="528">
        <v>170</v>
      </c>
      <c r="M16" s="82">
        <f t="shared" si="25"/>
        <v>299</v>
      </c>
      <c r="N16" s="528">
        <v>55</v>
      </c>
      <c r="O16" s="528">
        <v>526</v>
      </c>
      <c r="P16" s="133">
        <f t="shared" si="18"/>
        <v>0.5684410646387833</v>
      </c>
      <c r="Q16" s="528">
        <v>144</v>
      </c>
      <c r="R16" s="528">
        <v>76</v>
      </c>
      <c r="S16" s="84">
        <v>4595940</v>
      </c>
      <c r="T16" s="24">
        <f t="shared" si="22"/>
        <v>4715269</v>
      </c>
      <c r="U16" s="84">
        <v>3838110</v>
      </c>
      <c r="V16" s="84">
        <v>877159</v>
      </c>
      <c r="W16" s="135">
        <f t="shared" si="19"/>
        <v>0.18602522994976534</v>
      </c>
    </row>
    <row r="17" spans="1:23">
      <c r="A17" s="15" t="s">
        <v>29</v>
      </c>
      <c r="B17" s="528">
        <v>23</v>
      </c>
      <c r="C17" s="528">
        <v>9</v>
      </c>
      <c r="D17" s="23">
        <f t="shared" si="23"/>
        <v>32</v>
      </c>
      <c r="E17" s="82">
        <f t="shared" si="20"/>
        <v>31</v>
      </c>
      <c r="F17" s="82">
        <f t="shared" si="21"/>
        <v>22</v>
      </c>
      <c r="G17" s="85"/>
      <c r="H17" s="85"/>
      <c r="I17" s="528">
        <v>210</v>
      </c>
      <c r="J17" s="528">
        <v>300</v>
      </c>
      <c r="K17" s="23">
        <f t="shared" si="24"/>
        <v>510</v>
      </c>
      <c r="L17" s="528">
        <v>220</v>
      </c>
      <c r="M17" s="82">
        <f t="shared" si="25"/>
        <v>430</v>
      </c>
      <c r="N17" s="528">
        <v>63</v>
      </c>
      <c r="O17" s="528">
        <v>706</v>
      </c>
      <c r="P17" s="133">
        <f t="shared" si="18"/>
        <v>0.60906515580736542</v>
      </c>
      <c r="Q17" s="528">
        <v>126</v>
      </c>
      <c r="R17" s="528">
        <v>40</v>
      </c>
      <c r="S17" s="84">
        <v>4127476.5087795001</v>
      </c>
      <c r="T17" s="24">
        <f t="shared" si="22"/>
        <v>4203598.5087794997</v>
      </c>
      <c r="U17" s="84">
        <v>2879286.5087795001</v>
      </c>
      <c r="V17" s="84">
        <v>1324312</v>
      </c>
      <c r="W17" s="135">
        <f t="shared" si="19"/>
        <v>0.31504245641777751</v>
      </c>
    </row>
    <row r="18" spans="1:23">
      <c r="A18" s="15">
        <v>2007</v>
      </c>
      <c r="B18" s="528">
        <v>23</v>
      </c>
      <c r="C18" s="528">
        <v>4</v>
      </c>
      <c r="D18" s="23">
        <f t="shared" si="23"/>
        <v>27</v>
      </c>
      <c r="E18" s="82">
        <f t="shared" si="20"/>
        <v>22</v>
      </c>
      <c r="F18" s="82">
        <f t="shared" si="21"/>
        <v>19</v>
      </c>
      <c r="G18" s="85"/>
      <c r="H18" s="85"/>
      <c r="I18" s="528">
        <v>123</v>
      </c>
      <c r="J18" s="528">
        <v>245</v>
      </c>
      <c r="K18" s="23">
        <f t="shared" si="24"/>
        <v>368</v>
      </c>
      <c r="L18" s="527">
        <v>162</v>
      </c>
      <c r="M18" s="82">
        <f t="shared" si="25"/>
        <v>285</v>
      </c>
      <c r="N18" s="528">
        <v>44</v>
      </c>
      <c r="O18" s="528">
        <v>505</v>
      </c>
      <c r="P18" s="133">
        <f t="shared" si="18"/>
        <v>0.5643564356435643</v>
      </c>
      <c r="Q18" s="528">
        <v>109</v>
      </c>
      <c r="R18" s="528">
        <v>24</v>
      </c>
      <c r="S18" s="132">
        <v>5995759</v>
      </c>
      <c r="T18" s="24">
        <f t="shared" si="22"/>
        <v>6040982</v>
      </c>
      <c r="U18" s="148">
        <v>2742122</v>
      </c>
      <c r="V18" s="148">
        <v>3298860</v>
      </c>
      <c r="W18" s="135">
        <f t="shared" si="19"/>
        <v>0.54608009095210019</v>
      </c>
    </row>
    <row r="19" spans="1:23">
      <c r="A19" s="15">
        <v>2006</v>
      </c>
      <c r="B19" s="528">
        <v>22</v>
      </c>
      <c r="C19" s="528">
        <v>7</v>
      </c>
      <c r="D19" s="23">
        <f t="shared" si="23"/>
        <v>29</v>
      </c>
      <c r="E19" s="82">
        <f t="shared" si="20"/>
        <v>11</v>
      </c>
      <c r="F19" s="82">
        <f t="shared" si="21"/>
        <v>9</v>
      </c>
      <c r="G19" s="85"/>
      <c r="H19" s="85"/>
      <c r="I19" s="528">
        <v>110</v>
      </c>
      <c r="J19" s="528">
        <v>148</v>
      </c>
      <c r="K19" s="23">
        <f t="shared" si="24"/>
        <v>258</v>
      </c>
      <c r="L19" s="528">
        <v>99</v>
      </c>
      <c r="M19" s="82">
        <f t="shared" si="25"/>
        <v>209</v>
      </c>
      <c r="N19" s="528">
        <v>18</v>
      </c>
      <c r="O19" s="528">
        <v>248</v>
      </c>
      <c r="P19" s="133">
        <f t="shared" si="18"/>
        <v>0.842741935483871</v>
      </c>
      <c r="Q19" s="528">
        <v>151</v>
      </c>
      <c r="R19" s="528">
        <v>70</v>
      </c>
      <c r="S19" s="132">
        <v>5068893</v>
      </c>
      <c r="T19" s="24">
        <f t="shared" si="22"/>
        <v>5148790</v>
      </c>
      <c r="U19" s="132">
        <v>3023689</v>
      </c>
      <c r="V19" s="132">
        <v>2125101</v>
      </c>
      <c r="W19" s="135">
        <f t="shared" si="19"/>
        <v>0.41273794425486376</v>
      </c>
    </row>
    <row r="20" spans="1:23">
      <c r="A20" s="15">
        <v>2005</v>
      </c>
      <c r="B20" s="528">
        <v>21</v>
      </c>
      <c r="C20" s="528">
        <v>2</v>
      </c>
      <c r="D20" s="23">
        <f t="shared" si="23"/>
        <v>23</v>
      </c>
      <c r="E20" s="82">
        <f t="shared" si="20"/>
        <v>15</v>
      </c>
      <c r="F20" s="82">
        <f t="shared" si="21"/>
        <v>14</v>
      </c>
      <c r="G20" s="85"/>
      <c r="H20" s="85"/>
      <c r="I20" s="528">
        <v>137</v>
      </c>
      <c r="J20" s="528">
        <v>240</v>
      </c>
      <c r="K20" s="23">
        <f t="shared" si="24"/>
        <v>377</v>
      </c>
      <c r="L20" s="528">
        <v>140</v>
      </c>
      <c r="M20" s="82">
        <f t="shared" si="25"/>
        <v>277</v>
      </c>
      <c r="N20" s="528">
        <v>20</v>
      </c>
      <c r="O20" s="528">
        <v>312</v>
      </c>
      <c r="P20" s="133">
        <f t="shared" si="18"/>
        <v>0.88782051282051277</v>
      </c>
      <c r="Q20" s="528">
        <v>154</v>
      </c>
      <c r="R20" s="528">
        <v>67</v>
      </c>
      <c r="S20" s="132">
        <v>3898200</v>
      </c>
      <c r="T20" s="24">
        <f t="shared" si="22"/>
        <v>3898200</v>
      </c>
      <c r="U20" s="132">
        <v>2600000</v>
      </c>
      <c r="V20" s="132">
        <v>1298200</v>
      </c>
      <c r="W20" s="135">
        <f t="shared" si="19"/>
        <v>0.33302549894823252</v>
      </c>
    </row>
    <row r="21" spans="1:23">
      <c r="A21" s="15">
        <v>2004</v>
      </c>
      <c r="B21" s="528">
        <v>19</v>
      </c>
      <c r="C21" s="528">
        <v>2</v>
      </c>
      <c r="D21" s="23">
        <f t="shared" si="23"/>
        <v>21</v>
      </c>
      <c r="E21" s="82">
        <f t="shared" si="20"/>
        <v>24</v>
      </c>
      <c r="F21" s="82">
        <f t="shared" si="21"/>
        <v>22</v>
      </c>
      <c r="G21" s="85"/>
      <c r="H21" s="85"/>
      <c r="I21" s="528">
        <v>147</v>
      </c>
      <c r="J21" s="528">
        <v>213</v>
      </c>
      <c r="K21" s="23">
        <f t="shared" si="24"/>
        <v>360</v>
      </c>
      <c r="L21" s="528">
        <v>143</v>
      </c>
      <c r="M21" s="82">
        <f t="shared" si="25"/>
        <v>290</v>
      </c>
      <c r="N21" s="528">
        <v>51</v>
      </c>
      <c r="O21" s="528">
        <v>454</v>
      </c>
      <c r="P21" s="133">
        <f t="shared" si="18"/>
        <v>0.63876651982378851</v>
      </c>
      <c r="Q21" s="528">
        <v>164</v>
      </c>
      <c r="R21" s="528">
        <v>63</v>
      </c>
      <c r="S21" s="132">
        <v>3516491</v>
      </c>
      <c r="T21" s="24">
        <f t="shared" si="22"/>
        <v>3516491</v>
      </c>
      <c r="U21" s="132">
        <v>2656474</v>
      </c>
      <c r="V21" s="132">
        <v>860017</v>
      </c>
      <c r="W21" s="135">
        <f t="shared" si="19"/>
        <v>0.24456681390624915</v>
      </c>
    </row>
    <row r="22" spans="1:23">
      <c r="A22" s="15">
        <v>2003</v>
      </c>
      <c r="B22" s="528">
        <v>18</v>
      </c>
      <c r="C22" s="528">
        <f>ROUND(1.5, 0)</f>
        <v>2</v>
      </c>
      <c r="D22" s="23">
        <f t="shared" si="23"/>
        <v>20</v>
      </c>
      <c r="E22" s="82">
        <f t="shared" si="20"/>
        <v>19</v>
      </c>
      <c r="F22" s="82">
        <f t="shared" si="21"/>
        <v>17</v>
      </c>
      <c r="G22" s="85"/>
      <c r="H22" s="85"/>
      <c r="I22" s="528">
        <v>159</v>
      </c>
      <c r="J22" s="528">
        <v>169</v>
      </c>
      <c r="K22" s="23">
        <f t="shared" si="24"/>
        <v>328</v>
      </c>
      <c r="L22" s="528">
        <v>127</v>
      </c>
      <c r="M22" s="82">
        <f t="shared" si="25"/>
        <v>286</v>
      </c>
      <c r="N22" s="528">
        <v>38</v>
      </c>
      <c r="O22" s="528">
        <f>ROUND(348.63, 0)</f>
        <v>349</v>
      </c>
      <c r="P22" s="133">
        <f t="shared" si="18"/>
        <v>0.81948424068767911</v>
      </c>
      <c r="Q22" s="528">
        <v>117</v>
      </c>
      <c r="R22" s="528">
        <v>140</v>
      </c>
      <c r="S22" s="132">
        <v>3516491</v>
      </c>
      <c r="T22" s="24">
        <f t="shared" si="22"/>
        <v>3516492</v>
      </c>
      <c r="U22" s="132">
        <v>2656474</v>
      </c>
      <c r="V22" s="132">
        <v>860018</v>
      </c>
      <c r="W22" s="135">
        <f t="shared" si="19"/>
        <v>0.2445670287320432</v>
      </c>
    </row>
    <row r="23" spans="1:23">
      <c r="A23" s="15">
        <v>2002</v>
      </c>
      <c r="B23" s="528">
        <v>18</v>
      </c>
      <c r="C23" s="528">
        <f>ROUND(1.25, 0)</f>
        <v>1</v>
      </c>
      <c r="D23" s="23">
        <f t="shared" si="23"/>
        <v>19</v>
      </c>
      <c r="E23" s="82">
        <f t="shared" si="20"/>
        <v>18</v>
      </c>
      <c r="F23" s="82">
        <f t="shared" si="21"/>
        <v>17</v>
      </c>
      <c r="G23" s="85"/>
      <c r="H23" s="85"/>
      <c r="I23" s="528">
        <v>95</v>
      </c>
      <c r="J23" s="528">
        <v>209</v>
      </c>
      <c r="K23" s="23">
        <f t="shared" si="24"/>
        <v>304</v>
      </c>
      <c r="L23" s="528">
        <f>ROUND(156.75, 0)</f>
        <v>157</v>
      </c>
      <c r="M23" s="82">
        <f t="shared" si="25"/>
        <v>252</v>
      </c>
      <c r="N23" s="528">
        <v>32</v>
      </c>
      <c r="O23" s="528">
        <f>ROUND(317.8, 0)</f>
        <v>318</v>
      </c>
      <c r="P23" s="133">
        <f t="shared" si="18"/>
        <v>0.79245283018867929</v>
      </c>
      <c r="Q23" s="528">
        <v>100</v>
      </c>
      <c r="R23" s="528">
        <v>58</v>
      </c>
      <c r="S23" s="132">
        <v>3035247</v>
      </c>
      <c r="T23" s="24">
        <f t="shared" si="22"/>
        <v>3035247</v>
      </c>
      <c r="U23" s="132">
        <v>2600548</v>
      </c>
      <c r="V23" s="132">
        <v>434699</v>
      </c>
      <c r="W23" s="135">
        <f t="shared" si="19"/>
        <v>0.14321701001598883</v>
      </c>
    </row>
    <row r="24" spans="1:23" s="12" customFormat="1">
      <c r="A24" s="539" t="s">
        <v>179</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3" s="12" customFormat="1"/>
    <row r="26" spans="1:23" s="12" customFormat="1"/>
  </sheetData>
  <mergeCells count="1">
    <mergeCell ref="A24:W24"/>
  </mergeCells>
  <printOptions headings="1" gridLines="1"/>
  <pageMargins left="0.5" right="0.5" top="0.5" bottom="0.5" header="0" footer="0"/>
  <pageSetup paperSize="5" scale="67" orientation="landscape"/>
  <legacyDrawing r:id="rId1"/>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HL35"/>
  <sheetViews>
    <sheetView workbookViewId="0">
      <selection activeCell="H6" sqref="H6"/>
    </sheetView>
  </sheetViews>
  <sheetFormatPr defaultColWidth="8.85546875" defaultRowHeight="15"/>
  <cols>
    <col min="1" max="1" width="11"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1.42578125" bestFit="1" customWidth="1"/>
    <col min="23" max="23" width="12.85546875" bestFit="1" customWidth="1"/>
  </cols>
  <sheetData>
    <row r="1" spans="1:220" s="7" customFormat="1" ht="18.75">
      <c r="A1" s="1" t="s">
        <v>180</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14" customFormat="1">
      <c r="A3" s="10">
        <v>2022</v>
      </c>
      <c r="B3" s="17">
        <v>32</v>
      </c>
      <c r="C3" s="17">
        <v>26</v>
      </c>
      <c r="D3" s="23">
        <f t="shared" ref="D3" si="0">SUM(B3:C3)</f>
        <v>58</v>
      </c>
      <c r="E3" s="82">
        <f t="shared" ref="E3" si="1">ROUND((O3/B3), 0)</f>
        <v>52</v>
      </c>
      <c r="F3" s="82">
        <f t="shared" ref="F3" si="2">ROUND((O3/D3), 0)</f>
        <v>29</v>
      </c>
      <c r="G3" s="17">
        <v>31</v>
      </c>
      <c r="H3" s="17">
        <v>26</v>
      </c>
      <c r="I3" s="17">
        <v>840</v>
      </c>
      <c r="J3" s="17">
        <v>1629</v>
      </c>
      <c r="K3" s="23">
        <f>SUM(I3:J3)</f>
        <v>2469</v>
      </c>
      <c r="L3" s="17">
        <v>609</v>
      </c>
      <c r="M3" s="82">
        <f t="shared" ref="M3" si="3">(I3+L3)</f>
        <v>1449</v>
      </c>
      <c r="N3" s="17">
        <v>1133</v>
      </c>
      <c r="O3" s="17">
        <v>1663</v>
      </c>
      <c r="P3" s="133">
        <f>M3/O3</f>
        <v>0.87131689717378236</v>
      </c>
      <c r="Q3" s="17">
        <v>726</v>
      </c>
      <c r="R3" s="17">
        <v>40</v>
      </c>
      <c r="S3" s="20">
        <v>9413422</v>
      </c>
      <c r="T3" s="24">
        <f t="shared" ref="T3" si="4">SUM(U3:V3)</f>
        <v>11068619</v>
      </c>
      <c r="U3" s="20">
        <v>1337052</v>
      </c>
      <c r="V3" s="20">
        <v>9731567</v>
      </c>
      <c r="W3" s="135">
        <f>V3/T3</f>
        <v>0.87920335861230747</v>
      </c>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row>
    <row r="4" spans="1:220" s="14" customFormat="1">
      <c r="A4" s="10">
        <v>2021</v>
      </c>
      <c r="B4" s="17">
        <v>27</v>
      </c>
      <c r="C4" s="17">
        <v>22</v>
      </c>
      <c r="D4" s="23">
        <f>SUM(B4:C4)</f>
        <v>49</v>
      </c>
      <c r="E4" s="82">
        <f t="shared" ref="E4" si="5">ROUND((O4/B4), 0)</f>
        <v>60</v>
      </c>
      <c r="F4" s="82">
        <f t="shared" ref="F4" si="6">ROUND((O4/D4), 0)</f>
        <v>33</v>
      </c>
      <c r="G4" s="17">
        <v>27</v>
      </c>
      <c r="H4" s="17">
        <v>22</v>
      </c>
      <c r="I4" s="17">
        <v>878</v>
      </c>
      <c r="J4" s="17">
        <v>1602</v>
      </c>
      <c r="K4" s="23">
        <f t="shared" ref="K4" si="7">SUM(I4:J4)</f>
        <v>2480</v>
      </c>
      <c r="L4" s="17">
        <v>606</v>
      </c>
      <c r="M4" s="82">
        <f>(I4+L4)</f>
        <v>1484</v>
      </c>
      <c r="N4" s="17">
        <v>1130</v>
      </c>
      <c r="O4" s="17">
        <v>1615</v>
      </c>
      <c r="P4" s="133">
        <f t="shared" ref="P4" si="8">M4/O4</f>
        <v>0.91888544891640866</v>
      </c>
      <c r="Q4" s="17">
        <v>608</v>
      </c>
      <c r="R4" s="17">
        <v>45</v>
      </c>
      <c r="S4" s="20">
        <v>8562891</v>
      </c>
      <c r="T4" s="24">
        <f t="shared" ref="T4" si="9">SUM(U4:V4)</f>
        <v>11202046</v>
      </c>
      <c r="U4" s="20">
        <v>1554041</v>
      </c>
      <c r="V4" s="20">
        <v>9648005</v>
      </c>
      <c r="W4" s="135">
        <f t="shared" ref="W4" si="10">V4/T4</f>
        <v>0.86127168197666748</v>
      </c>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row>
    <row r="5" spans="1:220" s="14" customFormat="1">
      <c r="A5" s="10">
        <v>2020</v>
      </c>
      <c r="B5" s="17">
        <v>28</v>
      </c>
      <c r="C5" s="17">
        <v>21</v>
      </c>
      <c r="D5" s="23">
        <f>SUM(B5:C5)</f>
        <v>49</v>
      </c>
      <c r="E5" s="82">
        <f>ROUND((O5/B5), 0)</f>
        <v>54</v>
      </c>
      <c r="F5" s="82">
        <f>ROUND((O5/D5), 0)</f>
        <v>31</v>
      </c>
      <c r="G5" s="17">
        <v>28</v>
      </c>
      <c r="H5" s="17">
        <v>21</v>
      </c>
      <c r="I5" s="17">
        <v>858</v>
      </c>
      <c r="J5" s="17">
        <v>1482</v>
      </c>
      <c r="K5" s="23">
        <f t="shared" ref="K5" si="11">SUM(I5:J5)</f>
        <v>2340</v>
      </c>
      <c r="L5" s="17">
        <v>568</v>
      </c>
      <c r="M5" s="82">
        <f>(I5+L5)</f>
        <v>1426</v>
      </c>
      <c r="N5" s="17">
        <v>997</v>
      </c>
      <c r="O5" s="17">
        <v>1512.5</v>
      </c>
      <c r="P5" s="133">
        <f t="shared" ref="P5" si="12">M5/O5</f>
        <v>0.9428099173553719</v>
      </c>
      <c r="Q5" s="17">
        <v>550</v>
      </c>
      <c r="R5" s="17">
        <v>26</v>
      </c>
      <c r="S5" s="20">
        <v>8385473</v>
      </c>
      <c r="T5" s="24">
        <f>SUM(U5:V5)</f>
        <v>9751677</v>
      </c>
      <c r="U5" s="20">
        <v>1422421</v>
      </c>
      <c r="V5" s="20">
        <v>8329256</v>
      </c>
      <c r="W5" s="135">
        <f t="shared" ref="W5" si="13">V5/T5</f>
        <v>0.85413575531675223</v>
      </c>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row>
    <row r="6" spans="1:220" s="14" customFormat="1">
      <c r="A6" s="10">
        <v>2019</v>
      </c>
      <c r="B6" s="17">
        <v>26</v>
      </c>
      <c r="C6" s="17">
        <v>24.07</v>
      </c>
      <c r="D6" s="23">
        <f>SUM(B6:C6)</f>
        <v>50.07</v>
      </c>
      <c r="E6" s="82">
        <f>ROUND((O6/B6), 0)</f>
        <v>51</v>
      </c>
      <c r="F6" s="82">
        <f>ROUND((O6/D6), 0)</f>
        <v>27</v>
      </c>
      <c r="G6" s="17">
        <v>26</v>
      </c>
      <c r="H6" s="17">
        <v>24.07</v>
      </c>
      <c r="I6" s="17">
        <v>788</v>
      </c>
      <c r="J6" s="17">
        <v>1372</v>
      </c>
      <c r="K6" s="23">
        <f>SUM(I6:J6)</f>
        <v>2160</v>
      </c>
      <c r="L6" s="17">
        <v>514</v>
      </c>
      <c r="M6" s="82">
        <f>(I6+L6)</f>
        <v>1302</v>
      </c>
      <c r="N6" s="17">
        <v>936</v>
      </c>
      <c r="O6" s="17">
        <v>1330</v>
      </c>
      <c r="P6" s="133">
        <f>M6/O6</f>
        <v>0.97894736842105268</v>
      </c>
      <c r="Q6" s="17">
        <v>542</v>
      </c>
      <c r="R6" s="17">
        <v>24</v>
      </c>
      <c r="S6" s="20">
        <v>7558980</v>
      </c>
      <c r="T6" s="24">
        <f>SUM(U6:V6)</f>
        <v>12577766</v>
      </c>
      <c r="U6" s="20">
        <v>1281806</v>
      </c>
      <c r="V6" s="20">
        <v>11295960</v>
      </c>
      <c r="W6" s="135">
        <f>V6/T6</f>
        <v>0.89808953354673637</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27</v>
      </c>
      <c r="C7" s="17">
        <v>21.3</v>
      </c>
      <c r="D7" s="23">
        <f>SUM(B7:C7)</f>
        <v>48.3</v>
      </c>
      <c r="E7" s="82">
        <f>ROUND((O7/B7), 0)</f>
        <v>46</v>
      </c>
      <c r="F7" s="82">
        <f>ROUND((O7/D7), 0)</f>
        <v>25</v>
      </c>
      <c r="G7" s="17">
        <v>27</v>
      </c>
      <c r="H7" s="17">
        <v>21.3</v>
      </c>
      <c r="I7" s="17">
        <v>664</v>
      </c>
      <c r="J7" s="17">
        <v>1355</v>
      </c>
      <c r="K7" s="23">
        <f t="shared" ref="K7" si="14">SUM(I7:J7)</f>
        <v>2019</v>
      </c>
      <c r="L7" s="17">
        <v>514</v>
      </c>
      <c r="M7" s="82">
        <f>(I7+L7)</f>
        <v>1178</v>
      </c>
      <c r="N7" s="17">
        <v>807</v>
      </c>
      <c r="O7" s="17">
        <v>1230.5</v>
      </c>
      <c r="P7" s="133">
        <f>M7/O7</f>
        <v>0.95733441690369769</v>
      </c>
      <c r="Q7" s="17">
        <v>538</v>
      </c>
      <c r="R7" s="17">
        <v>28</v>
      </c>
      <c r="S7" s="20">
        <v>7274512</v>
      </c>
      <c r="T7" s="24">
        <f>SUM(U7:V7)</f>
        <v>10432824</v>
      </c>
      <c r="U7" s="20">
        <v>1248214</v>
      </c>
      <c r="V7" s="20">
        <v>9184610</v>
      </c>
      <c r="W7" s="135">
        <f>V7/T7</f>
        <v>0.88035703468207649</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24</v>
      </c>
      <c r="C8" s="17">
        <v>17.87</v>
      </c>
      <c r="D8" s="27">
        <f>SUM(B8:C8)</f>
        <v>41.870000000000005</v>
      </c>
      <c r="E8" s="27">
        <f>ROUND((O8/B8), 0)</f>
        <v>45</v>
      </c>
      <c r="F8" s="27">
        <f>ROUND((O8/D8), 0)</f>
        <v>26</v>
      </c>
      <c r="G8" s="17">
        <v>23</v>
      </c>
      <c r="H8" s="17">
        <v>17.87</v>
      </c>
      <c r="I8" s="17">
        <v>571</v>
      </c>
      <c r="J8" s="17">
        <v>1360</v>
      </c>
      <c r="K8" s="27">
        <f>SUM(I8:J8)</f>
        <v>1931</v>
      </c>
      <c r="L8" s="17">
        <v>517</v>
      </c>
      <c r="M8" s="29">
        <f>(I8+L8)</f>
        <v>1088</v>
      </c>
      <c r="N8" s="255">
        <v>757</v>
      </c>
      <c r="O8" s="255">
        <v>1088</v>
      </c>
      <c r="P8" s="133">
        <f t="shared" ref="P8:P23" si="15">M8/O8</f>
        <v>1</v>
      </c>
      <c r="Q8" s="17">
        <v>498</v>
      </c>
      <c r="R8" s="17">
        <v>36</v>
      </c>
      <c r="S8" s="223">
        <v>6647097</v>
      </c>
      <c r="T8" s="28">
        <f>SUM(U8:V8)</f>
        <v>7351994</v>
      </c>
      <c r="U8" s="252">
        <v>1103647</v>
      </c>
      <c r="V8" s="20">
        <v>6248347</v>
      </c>
      <c r="W8" s="135">
        <f t="shared" ref="W8:W23" si="16">V8/T8</f>
        <v>0.84988467074374652</v>
      </c>
    </row>
    <row r="9" spans="1:220" s="9" customFormat="1">
      <c r="A9" s="10">
        <v>2016</v>
      </c>
      <c r="B9" s="54">
        <v>25</v>
      </c>
      <c r="C9" s="54">
        <v>20.58</v>
      </c>
      <c r="D9" s="65">
        <f>B9+C9</f>
        <v>45.58</v>
      </c>
      <c r="E9" s="13">
        <f>ROUND((O9/B9), 0)</f>
        <v>45</v>
      </c>
      <c r="F9" s="13">
        <f>ROUND((O9/D9), 0)</f>
        <v>25</v>
      </c>
      <c r="G9" s="66">
        <v>24</v>
      </c>
      <c r="H9" s="66">
        <v>20.58</v>
      </c>
      <c r="I9" s="54">
        <v>543</v>
      </c>
      <c r="J9" s="54">
        <v>1422</v>
      </c>
      <c r="K9" s="65">
        <f>I9+J9</f>
        <v>1965</v>
      </c>
      <c r="L9" s="54">
        <v>534</v>
      </c>
      <c r="M9" s="13">
        <f>I9+L9</f>
        <v>1077</v>
      </c>
      <c r="N9" s="54">
        <v>715</v>
      </c>
      <c r="O9" s="54">
        <v>1123.4100000000001</v>
      </c>
      <c r="P9" s="133">
        <f t="shared" si="15"/>
        <v>0.95868827943493462</v>
      </c>
      <c r="Q9" s="54">
        <v>497</v>
      </c>
      <c r="R9" s="54">
        <v>35</v>
      </c>
      <c r="S9" s="78">
        <v>6277792</v>
      </c>
      <c r="T9" s="68">
        <f>SUM(U9:V9)</f>
        <v>7961852</v>
      </c>
      <c r="U9" s="78">
        <v>1067453</v>
      </c>
      <c r="V9" s="78">
        <v>6894399</v>
      </c>
      <c r="W9" s="135">
        <f t="shared" si="16"/>
        <v>0.86592905771169826</v>
      </c>
    </row>
    <row r="10" spans="1:220" s="16" customFormat="1">
      <c r="A10" s="57">
        <v>2015</v>
      </c>
      <c r="B10" s="70">
        <v>24</v>
      </c>
      <c r="C10" s="70">
        <v>16.63</v>
      </c>
      <c r="D10" s="65">
        <v>40.630000000000003</v>
      </c>
      <c r="E10" s="65">
        <v>45.3</v>
      </c>
      <c r="F10" s="65">
        <v>26.8</v>
      </c>
      <c r="G10" s="83"/>
      <c r="H10" s="83"/>
      <c r="I10" s="70">
        <v>556</v>
      </c>
      <c r="J10" s="70">
        <v>1301</v>
      </c>
      <c r="K10" s="65">
        <v>1857</v>
      </c>
      <c r="L10" s="70">
        <v>485</v>
      </c>
      <c r="M10" s="65">
        <v>1041</v>
      </c>
      <c r="N10" s="70">
        <v>655</v>
      </c>
      <c r="O10" s="70">
        <v>1087.33</v>
      </c>
      <c r="P10" s="133">
        <f t="shared" si="15"/>
        <v>0.95739104043850543</v>
      </c>
      <c r="Q10" s="70">
        <v>487</v>
      </c>
      <c r="R10" s="70">
        <v>24</v>
      </c>
      <c r="S10" s="78">
        <v>6956788</v>
      </c>
      <c r="T10" s="79">
        <v>6948077</v>
      </c>
      <c r="U10" s="78">
        <v>1115007</v>
      </c>
      <c r="V10" s="78">
        <v>5833070</v>
      </c>
      <c r="W10" s="135">
        <f t="shared" si="16"/>
        <v>0.83952293562664893</v>
      </c>
    </row>
    <row r="11" spans="1:220" s="16" customFormat="1">
      <c r="A11" s="15">
        <v>2014</v>
      </c>
      <c r="B11" s="70">
        <v>27</v>
      </c>
      <c r="C11" s="70">
        <v>26</v>
      </c>
      <c r="D11" s="65">
        <f>B11+C11</f>
        <v>53</v>
      </c>
      <c r="E11" s="13">
        <f t="shared" ref="E11:E23" si="17">ROUND((O11/B11), 0)</f>
        <v>40</v>
      </c>
      <c r="F11" s="13">
        <f t="shared" ref="F11:F23" si="18">ROUND((O11/D11), 0)</f>
        <v>20</v>
      </c>
      <c r="G11" s="83"/>
      <c r="H11" s="83"/>
      <c r="I11" s="70">
        <v>550</v>
      </c>
      <c r="J11" s="70">
        <v>1246</v>
      </c>
      <c r="K11" s="65">
        <f>I11+J11</f>
        <v>1796</v>
      </c>
      <c r="L11" s="70">
        <v>479</v>
      </c>
      <c r="M11" s="13">
        <f>I11+L11</f>
        <v>1029</v>
      </c>
      <c r="N11" s="70">
        <v>630</v>
      </c>
      <c r="O11" s="70">
        <v>1068</v>
      </c>
      <c r="P11" s="133">
        <f t="shared" si="15"/>
        <v>0.9634831460674157</v>
      </c>
      <c r="Q11" s="70">
        <v>560</v>
      </c>
      <c r="R11" s="70">
        <v>23</v>
      </c>
      <c r="S11" s="137">
        <v>7559565</v>
      </c>
      <c r="T11" s="68">
        <f t="shared" ref="T11:T23" si="19">SUM(U11:V11)</f>
        <v>7603985</v>
      </c>
      <c r="U11" s="71">
        <v>938614</v>
      </c>
      <c r="V11" s="71">
        <v>6665371</v>
      </c>
      <c r="W11" s="135">
        <f t="shared" si="16"/>
        <v>0.87656288117348991</v>
      </c>
    </row>
    <row r="12" spans="1:220">
      <c r="A12" s="15">
        <v>2013</v>
      </c>
      <c r="B12" s="528">
        <v>28</v>
      </c>
      <c r="C12" s="528">
        <v>15.2</v>
      </c>
      <c r="D12" s="23">
        <f>B12+C12</f>
        <v>43.2</v>
      </c>
      <c r="E12" s="82">
        <f t="shared" si="17"/>
        <v>34</v>
      </c>
      <c r="F12" s="82">
        <f t="shared" si="18"/>
        <v>22</v>
      </c>
      <c r="G12" s="85"/>
      <c r="H12" s="85"/>
      <c r="I12" s="528">
        <v>275</v>
      </c>
      <c r="J12" s="528">
        <v>1525</v>
      </c>
      <c r="K12" s="23">
        <f>I12+J12</f>
        <v>1800</v>
      </c>
      <c r="L12" s="528">
        <v>641.5</v>
      </c>
      <c r="M12" s="82">
        <f>I12+L12</f>
        <v>916.5</v>
      </c>
      <c r="N12" s="528">
        <v>639</v>
      </c>
      <c r="O12" s="528">
        <v>949</v>
      </c>
      <c r="P12" s="133">
        <f t="shared" si="15"/>
        <v>0.96575342465753422</v>
      </c>
      <c r="Q12" s="528">
        <v>543</v>
      </c>
      <c r="R12" s="528">
        <v>8</v>
      </c>
      <c r="S12" s="132">
        <v>7416880.4400000004</v>
      </c>
      <c r="T12" s="24">
        <f t="shared" si="19"/>
        <v>7568392.9800000004</v>
      </c>
      <c r="U12" s="84">
        <v>955120</v>
      </c>
      <c r="V12" s="84">
        <v>6613272.9800000004</v>
      </c>
      <c r="W12" s="135">
        <f t="shared" si="16"/>
        <v>0.87380147905586159</v>
      </c>
    </row>
    <row r="13" spans="1:220">
      <c r="A13" s="15">
        <v>2012</v>
      </c>
      <c r="B13" s="528">
        <v>28</v>
      </c>
      <c r="C13" s="528">
        <v>16.25</v>
      </c>
      <c r="D13" s="23">
        <f>B13+C13</f>
        <v>44.25</v>
      </c>
      <c r="E13" s="82">
        <f t="shared" si="17"/>
        <v>42</v>
      </c>
      <c r="F13" s="82">
        <f t="shared" si="18"/>
        <v>27</v>
      </c>
      <c r="G13" s="85"/>
      <c r="H13" s="85"/>
      <c r="I13" s="528">
        <v>634</v>
      </c>
      <c r="J13" s="528">
        <v>1352</v>
      </c>
      <c r="K13" s="23">
        <f>I13+J13</f>
        <v>1986</v>
      </c>
      <c r="L13" s="528">
        <v>529</v>
      </c>
      <c r="M13" s="82">
        <f>I13+L13</f>
        <v>1163</v>
      </c>
      <c r="N13" s="528">
        <v>508</v>
      </c>
      <c r="O13" s="528">
        <v>1182</v>
      </c>
      <c r="P13" s="133">
        <f t="shared" si="15"/>
        <v>0.9839255499153976</v>
      </c>
      <c r="Q13" s="528">
        <v>630</v>
      </c>
      <c r="R13" s="528">
        <v>5</v>
      </c>
      <c r="S13" s="132">
        <v>8068568</v>
      </c>
      <c r="T13" s="24">
        <f t="shared" si="19"/>
        <v>8079257</v>
      </c>
      <c r="U13" s="84">
        <v>994890</v>
      </c>
      <c r="V13" s="84">
        <v>7084367</v>
      </c>
      <c r="W13" s="135">
        <f t="shared" si="16"/>
        <v>0.87685872599423442</v>
      </c>
    </row>
    <row r="14" spans="1:220">
      <c r="A14" s="15">
        <v>2011</v>
      </c>
      <c r="B14" s="528">
        <v>24</v>
      </c>
      <c r="C14" s="528">
        <v>12.4</v>
      </c>
      <c r="D14" s="23">
        <f t="shared" ref="D14:D23" si="20">SUM(B14:C14)</f>
        <v>36.4</v>
      </c>
      <c r="E14" s="82">
        <f t="shared" si="17"/>
        <v>53</v>
      </c>
      <c r="F14" s="82">
        <f t="shared" si="18"/>
        <v>35</v>
      </c>
      <c r="G14" s="85"/>
      <c r="H14" s="85"/>
      <c r="I14" s="528">
        <v>680</v>
      </c>
      <c r="J14" s="528">
        <v>1455</v>
      </c>
      <c r="K14" s="23">
        <f t="shared" ref="K14:K23" si="21">SUM(I14:J14)</f>
        <v>2135</v>
      </c>
      <c r="L14" s="528">
        <v>573</v>
      </c>
      <c r="M14" s="82">
        <f t="shared" ref="M14:M21" si="22">(I14+L14)</f>
        <v>1253</v>
      </c>
      <c r="N14" s="528">
        <v>663</v>
      </c>
      <c r="O14" s="528">
        <v>1266.5</v>
      </c>
      <c r="P14" s="133">
        <f t="shared" si="15"/>
        <v>0.98934070272404262</v>
      </c>
      <c r="Q14" s="528">
        <v>663</v>
      </c>
      <c r="R14" s="528">
        <v>0</v>
      </c>
      <c r="S14" s="132">
        <v>9037170</v>
      </c>
      <c r="T14" s="24">
        <f t="shared" si="19"/>
        <v>11085423</v>
      </c>
      <c r="U14" s="84">
        <v>1029426</v>
      </c>
      <c r="V14" s="84">
        <v>10055997</v>
      </c>
      <c r="W14" s="135">
        <f t="shared" si="16"/>
        <v>0.90713696716850589</v>
      </c>
    </row>
    <row r="15" spans="1:220">
      <c r="A15" s="15">
        <v>2010</v>
      </c>
      <c r="B15" s="528">
        <v>24.5</v>
      </c>
      <c r="C15" s="528">
        <v>17.5</v>
      </c>
      <c r="D15" s="23">
        <f t="shared" si="20"/>
        <v>42</v>
      </c>
      <c r="E15" s="82">
        <f t="shared" si="17"/>
        <v>54</v>
      </c>
      <c r="F15" s="82">
        <f t="shared" si="18"/>
        <v>31</v>
      </c>
      <c r="G15" s="85"/>
      <c r="H15" s="85"/>
      <c r="I15" s="528">
        <v>695</v>
      </c>
      <c r="J15" s="528">
        <v>1532</v>
      </c>
      <c r="K15" s="23">
        <f t="shared" si="21"/>
        <v>2227</v>
      </c>
      <c r="L15" s="528">
        <v>612</v>
      </c>
      <c r="M15" s="82">
        <f t="shared" si="22"/>
        <v>1307</v>
      </c>
      <c r="N15" s="528">
        <v>674</v>
      </c>
      <c r="O15" s="528">
        <v>1320.5</v>
      </c>
      <c r="P15" s="133">
        <f t="shared" si="15"/>
        <v>0.98977659977281329</v>
      </c>
      <c r="Q15" s="528">
        <v>493</v>
      </c>
      <c r="R15" s="528">
        <v>0</v>
      </c>
      <c r="S15" s="132">
        <v>8216193</v>
      </c>
      <c r="T15" s="24">
        <f t="shared" si="19"/>
        <v>11614039.48</v>
      </c>
      <c r="U15" s="84">
        <v>2269364</v>
      </c>
      <c r="V15" s="84">
        <v>9344675.4800000004</v>
      </c>
      <c r="W15" s="135">
        <f t="shared" si="16"/>
        <v>0.80460166302103875</v>
      </c>
    </row>
    <row r="16" spans="1:220">
      <c r="A16" s="15">
        <v>2009</v>
      </c>
      <c r="B16" s="528">
        <v>24</v>
      </c>
      <c r="C16" s="528">
        <v>30.8</v>
      </c>
      <c r="D16" s="23">
        <f t="shared" si="20"/>
        <v>54.8</v>
      </c>
      <c r="E16" s="82">
        <f t="shared" si="17"/>
        <v>50</v>
      </c>
      <c r="F16" s="82">
        <f t="shared" si="18"/>
        <v>22</v>
      </c>
      <c r="G16" s="85"/>
      <c r="H16" s="85"/>
      <c r="I16" s="528">
        <v>579</v>
      </c>
      <c r="J16" s="528">
        <v>1734</v>
      </c>
      <c r="K16" s="23">
        <f t="shared" si="21"/>
        <v>2313</v>
      </c>
      <c r="L16" s="528">
        <v>611</v>
      </c>
      <c r="M16" s="82">
        <f t="shared" si="22"/>
        <v>1190</v>
      </c>
      <c r="N16" s="528">
        <v>645</v>
      </c>
      <c r="O16" s="528">
        <v>1198.5</v>
      </c>
      <c r="P16" s="133">
        <f t="shared" si="15"/>
        <v>0.99290780141843971</v>
      </c>
      <c r="Q16" s="528">
        <v>442</v>
      </c>
      <c r="R16" s="528">
        <v>0</v>
      </c>
      <c r="S16" s="132">
        <v>6725299</v>
      </c>
      <c r="T16" s="24">
        <f t="shared" si="19"/>
        <v>9475610</v>
      </c>
      <c r="U16" s="84">
        <v>2352939</v>
      </c>
      <c r="V16" s="84">
        <v>7122671</v>
      </c>
      <c r="W16" s="135">
        <f t="shared" si="16"/>
        <v>0.75168469365032964</v>
      </c>
    </row>
    <row r="17" spans="1:23">
      <c r="A17" s="15">
        <v>2008</v>
      </c>
      <c r="B17" s="528">
        <v>19</v>
      </c>
      <c r="C17" s="528">
        <v>40.6</v>
      </c>
      <c r="D17" s="23">
        <f t="shared" si="20"/>
        <v>59.6</v>
      </c>
      <c r="E17" s="82">
        <f t="shared" si="17"/>
        <v>65</v>
      </c>
      <c r="F17" s="82">
        <f t="shared" si="18"/>
        <v>21</v>
      </c>
      <c r="G17" s="85"/>
      <c r="H17" s="85"/>
      <c r="I17" s="528">
        <v>684</v>
      </c>
      <c r="J17" s="528">
        <v>1298</v>
      </c>
      <c r="K17" s="23">
        <f t="shared" si="21"/>
        <v>1982</v>
      </c>
      <c r="L17" s="528">
        <v>541.25</v>
      </c>
      <c r="M17" s="82">
        <f t="shared" si="22"/>
        <v>1225.25</v>
      </c>
      <c r="N17" s="528">
        <v>488</v>
      </c>
      <c r="O17" s="528">
        <v>1227</v>
      </c>
      <c r="P17" s="133">
        <f t="shared" si="15"/>
        <v>0.99857375713121432</v>
      </c>
      <c r="Q17" s="528">
        <v>443</v>
      </c>
      <c r="R17" s="528">
        <v>0</v>
      </c>
      <c r="S17" s="132">
        <v>4599625</v>
      </c>
      <c r="T17" s="24">
        <f t="shared" si="19"/>
        <v>7254857.0099999998</v>
      </c>
      <c r="U17" s="84">
        <v>2806664</v>
      </c>
      <c r="V17" s="84">
        <v>4448193.01</v>
      </c>
      <c r="W17" s="135">
        <f t="shared" si="16"/>
        <v>0.61313310570679325</v>
      </c>
    </row>
    <row r="18" spans="1:23">
      <c r="A18" s="15">
        <v>2007</v>
      </c>
      <c r="B18" s="528">
        <v>19</v>
      </c>
      <c r="C18" s="528">
        <v>31.4</v>
      </c>
      <c r="D18" s="82">
        <f t="shared" si="20"/>
        <v>50.4</v>
      </c>
      <c r="E18" s="82">
        <f t="shared" si="17"/>
        <v>37</v>
      </c>
      <c r="F18" s="82">
        <f t="shared" si="18"/>
        <v>14</v>
      </c>
      <c r="G18" s="85"/>
      <c r="H18" s="85"/>
      <c r="I18" s="528">
        <v>397</v>
      </c>
      <c r="J18" s="528">
        <v>1206</v>
      </c>
      <c r="K18" s="23">
        <f t="shared" si="21"/>
        <v>1603</v>
      </c>
      <c r="L18" s="528">
        <v>301.5</v>
      </c>
      <c r="M18" s="82">
        <f t="shared" si="22"/>
        <v>698.5</v>
      </c>
      <c r="N18" s="528">
        <v>433</v>
      </c>
      <c r="O18" s="528">
        <v>699</v>
      </c>
      <c r="P18" s="133">
        <f t="shared" si="15"/>
        <v>0.99928469241773965</v>
      </c>
      <c r="Q18" s="528">
        <v>463</v>
      </c>
      <c r="R18" s="528">
        <v>0</v>
      </c>
      <c r="S18" s="132">
        <v>5613963</v>
      </c>
      <c r="T18" s="24">
        <f t="shared" si="19"/>
        <v>5870472.3300000001</v>
      </c>
      <c r="U18" s="179">
        <v>2664589</v>
      </c>
      <c r="V18" s="179">
        <v>3205883.33</v>
      </c>
      <c r="W18" s="135">
        <f t="shared" si="16"/>
        <v>0.54610313272697086</v>
      </c>
    </row>
    <row r="19" spans="1:23">
      <c r="A19" s="15">
        <v>2006</v>
      </c>
      <c r="B19" s="528">
        <v>17</v>
      </c>
      <c r="C19" s="528">
        <v>14</v>
      </c>
      <c r="D19" s="82">
        <f t="shared" si="20"/>
        <v>31</v>
      </c>
      <c r="E19" s="82">
        <f t="shared" si="17"/>
        <v>37</v>
      </c>
      <c r="F19" s="82">
        <f t="shared" si="18"/>
        <v>20</v>
      </c>
      <c r="G19" s="85"/>
      <c r="H19" s="85"/>
      <c r="I19" s="528">
        <v>394</v>
      </c>
      <c r="J19" s="528">
        <v>1193</v>
      </c>
      <c r="K19" s="23">
        <f t="shared" si="21"/>
        <v>1587</v>
      </c>
      <c r="L19" s="528">
        <v>239</v>
      </c>
      <c r="M19" s="82">
        <f t="shared" si="22"/>
        <v>633</v>
      </c>
      <c r="N19" s="528">
        <v>306</v>
      </c>
      <c r="O19" s="528">
        <v>633</v>
      </c>
      <c r="P19" s="133">
        <f t="shared" si="15"/>
        <v>1</v>
      </c>
      <c r="Q19" s="528">
        <v>334</v>
      </c>
      <c r="R19" s="528">
        <v>0</v>
      </c>
      <c r="S19" s="132">
        <v>4250270</v>
      </c>
      <c r="T19" s="24">
        <f t="shared" si="19"/>
        <v>4893830</v>
      </c>
      <c r="U19" s="132">
        <v>2180523</v>
      </c>
      <c r="V19" s="132">
        <v>2713307</v>
      </c>
      <c r="W19" s="135">
        <f t="shared" si="16"/>
        <v>0.55443425701342297</v>
      </c>
    </row>
    <row r="20" spans="1:23">
      <c r="A20" s="15">
        <v>2005</v>
      </c>
      <c r="B20" s="528">
        <v>15</v>
      </c>
      <c r="C20" s="528">
        <v>14</v>
      </c>
      <c r="D20" s="82">
        <f t="shared" si="20"/>
        <v>29</v>
      </c>
      <c r="E20" s="82">
        <f t="shared" si="17"/>
        <v>38</v>
      </c>
      <c r="F20" s="82">
        <f t="shared" si="18"/>
        <v>20</v>
      </c>
      <c r="G20" s="85"/>
      <c r="H20" s="85"/>
      <c r="I20" s="528">
        <v>365</v>
      </c>
      <c r="J20" s="528">
        <v>1057</v>
      </c>
      <c r="K20" s="23">
        <f t="shared" si="21"/>
        <v>1422</v>
      </c>
      <c r="L20" s="528">
        <v>211</v>
      </c>
      <c r="M20" s="82">
        <f t="shared" si="22"/>
        <v>576</v>
      </c>
      <c r="N20" s="528">
        <v>290</v>
      </c>
      <c r="O20" s="528">
        <v>576</v>
      </c>
      <c r="P20" s="133">
        <f t="shared" si="15"/>
        <v>1</v>
      </c>
      <c r="Q20" s="528">
        <v>316</v>
      </c>
      <c r="R20" s="528">
        <v>0</v>
      </c>
      <c r="S20" s="132">
        <v>3104328</v>
      </c>
      <c r="T20" s="24">
        <f t="shared" si="19"/>
        <v>3869247</v>
      </c>
      <c r="U20" s="132">
        <v>1716417</v>
      </c>
      <c r="V20" s="132">
        <v>2152830</v>
      </c>
      <c r="W20" s="135">
        <f t="shared" si="16"/>
        <v>0.55639508152361428</v>
      </c>
    </row>
    <row r="21" spans="1:23">
      <c r="A21" s="15">
        <v>2004</v>
      </c>
      <c r="B21" s="528">
        <v>14</v>
      </c>
      <c r="C21" s="528">
        <v>9</v>
      </c>
      <c r="D21" s="82">
        <f t="shared" si="20"/>
        <v>23</v>
      </c>
      <c r="E21" s="82">
        <f t="shared" si="17"/>
        <v>44</v>
      </c>
      <c r="F21" s="82">
        <f t="shared" si="18"/>
        <v>27</v>
      </c>
      <c r="G21" s="85"/>
      <c r="H21" s="85"/>
      <c r="I21" s="528">
        <v>270</v>
      </c>
      <c r="J21" s="528">
        <v>1106</v>
      </c>
      <c r="K21" s="23">
        <f t="shared" si="21"/>
        <v>1376</v>
      </c>
      <c r="L21" s="528">
        <v>345.8</v>
      </c>
      <c r="M21" s="82">
        <f t="shared" si="22"/>
        <v>615.79999999999995</v>
      </c>
      <c r="N21" s="528">
        <v>295</v>
      </c>
      <c r="O21" s="528">
        <v>616</v>
      </c>
      <c r="P21" s="133">
        <f t="shared" si="15"/>
        <v>0.99967532467532461</v>
      </c>
      <c r="Q21" s="528">
        <v>272</v>
      </c>
      <c r="R21" s="528">
        <v>0</v>
      </c>
      <c r="S21" s="132">
        <v>2901830.55</v>
      </c>
      <c r="T21" s="24">
        <f t="shared" si="19"/>
        <v>3421554.65</v>
      </c>
      <c r="U21" s="132">
        <v>1655048.42</v>
      </c>
      <c r="V21" s="132">
        <v>1766506.23</v>
      </c>
      <c r="W21" s="135">
        <f t="shared" si="16"/>
        <v>0.51628759751068132</v>
      </c>
    </row>
    <row r="22" spans="1:23">
      <c r="A22" s="15">
        <v>2003</v>
      </c>
      <c r="B22" s="528">
        <v>14</v>
      </c>
      <c r="C22" s="528"/>
      <c r="D22" s="23">
        <f t="shared" si="20"/>
        <v>14</v>
      </c>
      <c r="E22" s="82">
        <f t="shared" si="17"/>
        <v>31</v>
      </c>
      <c r="F22" s="82">
        <f t="shared" si="18"/>
        <v>31</v>
      </c>
      <c r="G22" s="85"/>
      <c r="H22" s="85"/>
      <c r="I22" s="528">
        <v>677</v>
      </c>
      <c r="J22" s="528">
        <v>1511</v>
      </c>
      <c r="K22" s="23">
        <f t="shared" si="21"/>
        <v>2188</v>
      </c>
      <c r="L22" s="528">
        <v>302</v>
      </c>
      <c r="M22" s="82">
        <v>438</v>
      </c>
      <c r="N22" s="528">
        <v>260</v>
      </c>
      <c r="O22" s="528">
        <v>438</v>
      </c>
      <c r="P22" s="133">
        <f t="shared" si="15"/>
        <v>1</v>
      </c>
      <c r="Q22" s="528">
        <v>205</v>
      </c>
      <c r="R22" s="528">
        <v>0</v>
      </c>
      <c r="S22" s="132">
        <v>2709473</v>
      </c>
      <c r="T22" s="24">
        <f t="shared" si="19"/>
        <v>4894198</v>
      </c>
      <c r="U22" s="132">
        <v>1727300</v>
      </c>
      <c r="V22" s="132">
        <v>3166898</v>
      </c>
      <c r="W22" s="135">
        <f t="shared" si="16"/>
        <v>0.64707190023779182</v>
      </c>
    </row>
    <row r="23" spans="1:23">
      <c r="A23" s="15">
        <v>2002</v>
      </c>
      <c r="B23" s="528">
        <v>12</v>
      </c>
      <c r="C23" s="528">
        <f>ROUND(7.6, 0)</f>
        <v>8</v>
      </c>
      <c r="D23" s="23">
        <f t="shared" si="20"/>
        <v>20</v>
      </c>
      <c r="E23" s="82">
        <f t="shared" si="17"/>
        <v>40</v>
      </c>
      <c r="F23" s="82">
        <f t="shared" si="18"/>
        <v>24</v>
      </c>
      <c r="G23" s="85"/>
      <c r="H23" s="85"/>
      <c r="I23" s="528">
        <v>211</v>
      </c>
      <c r="J23" s="528">
        <v>863</v>
      </c>
      <c r="K23" s="23">
        <f t="shared" si="21"/>
        <v>1074</v>
      </c>
      <c r="L23" s="528">
        <v>264</v>
      </c>
      <c r="M23" s="82">
        <f>(I23+L23)</f>
        <v>475</v>
      </c>
      <c r="N23" s="528">
        <v>223</v>
      </c>
      <c r="O23" s="528">
        <v>475</v>
      </c>
      <c r="P23" s="133">
        <f t="shared" si="15"/>
        <v>1</v>
      </c>
      <c r="Q23" s="528">
        <v>97</v>
      </c>
      <c r="R23" s="528">
        <v>0</v>
      </c>
      <c r="S23" s="132">
        <v>1909523</v>
      </c>
      <c r="T23" s="24">
        <f t="shared" si="19"/>
        <v>2248777</v>
      </c>
      <c r="U23" s="132">
        <v>1032836</v>
      </c>
      <c r="V23" s="132">
        <v>1215941</v>
      </c>
      <c r="W23" s="135">
        <f t="shared" si="16"/>
        <v>0.54071212930406176</v>
      </c>
    </row>
    <row r="24" spans="1:23">
      <c r="A24" s="537" t="s">
        <v>181</v>
      </c>
      <c r="B24" s="537"/>
      <c r="C24" s="537"/>
      <c r="D24" s="537"/>
      <c r="E24" s="537"/>
      <c r="F24" s="537"/>
      <c r="G24" s="537"/>
      <c r="H24" s="537"/>
      <c r="I24" s="537"/>
      <c r="J24" s="537"/>
      <c r="K24" s="537"/>
      <c r="L24" s="537"/>
      <c r="M24" s="537"/>
      <c r="N24" s="537"/>
      <c r="O24" s="537"/>
      <c r="P24" s="537"/>
      <c r="Q24" s="537"/>
      <c r="R24" s="537"/>
      <c r="S24" s="537"/>
      <c r="T24" s="537"/>
      <c r="U24" s="537"/>
      <c r="V24" s="537"/>
      <c r="W24" s="537"/>
    </row>
    <row r="25" spans="1:23" s="12" customFormat="1">
      <c r="G25"/>
      <c r="H25"/>
    </row>
    <row r="26" spans="1:23" s="12" customFormat="1">
      <c r="G26"/>
      <c r="H26"/>
    </row>
    <row r="27" spans="1:23" s="12" customFormat="1">
      <c r="G27"/>
      <c r="H27"/>
    </row>
    <row r="28" spans="1:23" s="12" customFormat="1">
      <c r="G28"/>
      <c r="H28"/>
    </row>
    <row r="29" spans="1:23" s="12" customFormat="1">
      <c r="G29"/>
      <c r="H29"/>
    </row>
    <row r="30" spans="1:23" s="12" customFormat="1">
      <c r="G30"/>
      <c r="H30"/>
    </row>
    <row r="31" spans="1:23" s="12" customFormat="1">
      <c r="G31"/>
      <c r="H31"/>
    </row>
    <row r="32" spans="1:23" s="12" customFormat="1">
      <c r="G32"/>
      <c r="H32"/>
    </row>
    <row r="33" spans="7:8" s="12" customFormat="1">
      <c r="G33"/>
      <c r="H33"/>
    </row>
    <row r="34" spans="7:8" s="12" customFormat="1">
      <c r="G34"/>
      <c r="H34"/>
    </row>
    <row r="35" spans="7:8" s="12" customFormat="1">
      <c r="G35"/>
      <c r="H35"/>
    </row>
  </sheetData>
  <mergeCells count="1">
    <mergeCell ref="A24:W24"/>
  </mergeCells>
  <printOptions headings="1" gridLines="1"/>
  <pageMargins left="0.5" right="0.5" top="0.5" bottom="0.5" header="0" footer="0"/>
  <pageSetup paperSize="5" scale="65" orientation="landscape"/>
  <legacyDrawing r:id="rId1"/>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IX35"/>
  <sheetViews>
    <sheetView workbookViewId="0">
      <selection activeCell="P3" sqref="P3:R3"/>
    </sheetView>
  </sheetViews>
  <sheetFormatPr defaultColWidth="8.7109375" defaultRowHeight="15"/>
  <cols>
    <col min="1" max="1" width="10.42578125" customWidth="1"/>
    <col min="2" max="2" width="10.28515625" bestFit="1" customWidth="1"/>
    <col min="3" max="3" width="8.42578125" bestFit="1" customWidth="1"/>
    <col min="4" max="4" width="9.28515625" bestFit="1" customWidth="1"/>
    <col min="5" max="5" width="12.28515625" bestFit="1" customWidth="1"/>
    <col min="6" max="6" width="11.42578125" bestFit="1" customWidth="1"/>
    <col min="7" max="8" width="12.28515625" customWidth="1"/>
    <col min="10" max="11" width="11.7109375" bestFit="1" customWidth="1"/>
    <col min="12" max="12" width="12.28515625" bestFit="1" customWidth="1"/>
    <col min="13" max="14" width="13.28515625" bestFit="1" customWidth="1"/>
    <col min="15" max="15" width="13.42578125" bestFit="1" customWidth="1"/>
    <col min="16" max="16" width="14.28515625" customWidth="1"/>
    <col min="17" max="17" width="12.42578125" bestFit="1" customWidth="1"/>
    <col min="18" max="18" width="9" bestFit="1" customWidth="1"/>
    <col min="19" max="19" width="11.7109375" bestFit="1" customWidth="1"/>
    <col min="20" max="20" width="12.7109375" bestFit="1" customWidth="1"/>
    <col min="21" max="21" width="10.42578125" bestFit="1" customWidth="1"/>
    <col min="22" max="22" width="10.7109375" bestFit="1" customWidth="1"/>
    <col min="23" max="23" width="12.7109375" bestFit="1" customWidth="1"/>
  </cols>
  <sheetData>
    <row r="1" spans="1:220" s="7" customFormat="1" ht="18.75">
      <c r="A1" s="1" t="s">
        <v>182</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501" customFormat="1">
      <c r="A3" s="105">
        <v>2022</v>
      </c>
      <c r="B3" s="498">
        <v>22</v>
      </c>
      <c r="C3" s="498">
        <v>4</v>
      </c>
      <c r="D3" s="23">
        <f t="shared" ref="D3" si="0">SUM(B3:C3)</f>
        <v>26</v>
      </c>
      <c r="E3" s="82">
        <f t="shared" ref="E3" si="1">ROUND((O3/B3), 0)</f>
        <v>25</v>
      </c>
      <c r="F3" s="82">
        <f t="shared" ref="F3" si="2">ROUND((O3/D3), 0)</f>
        <v>21</v>
      </c>
      <c r="G3" s="499">
        <v>22</v>
      </c>
      <c r="H3" s="498">
        <v>4</v>
      </c>
      <c r="I3" s="498">
        <v>314</v>
      </c>
      <c r="J3" s="498">
        <v>394</v>
      </c>
      <c r="K3" s="353">
        <f t="shared" ref="K3" si="3">SUM(I3:J3)</f>
        <v>708</v>
      </c>
      <c r="L3" s="321">
        <v>235</v>
      </c>
      <c r="M3" s="353">
        <f t="shared" ref="M3" si="4">(I3+L3)</f>
        <v>549</v>
      </c>
      <c r="N3" s="498">
        <v>96</v>
      </c>
      <c r="O3" s="498">
        <v>558</v>
      </c>
      <c r="P3" s="502">
        <f t="shared" ref="P3" si="5">M3/O3</f>
        <v>0.9838709677419355</v>
      </c>
      <c r="Q3" s="498">
        <v>257</v>
      </c>
      <c r="R3" s="498">
        <v>20</v>
      </c>
      <c r="S3" s="304">
        <v>3451143</v>
      </c>
      <c r="T3" s="24">
        <f t="shared" ref="T3" si="6">SUM(U3:V3)</f>
        <v>3966972</v>
      </c>
      <c r="U3" s="304">
        <v>3740429</v>
      </c>
      <c r="V3" s="500">
        <v>226543</v>
      </c>
      <c r="W3" s="323">
        <f t="shared" ref="W3" si="7">V3/T3</f>
        <v>5.7107284851014829E-2</v>
      </c>
    </row>
    <row r="4" spans="1:220" s="72" customFormat="1">
      <c r="A4" s="105">
        <v>2021</v>
      </c>
      <c r="B4" s="66">
        <v>25</v>
      </c>
      <c r="C4" s="66">
        <v>6</v>
      </c>
      <c r="D4" s="23">
        <f>SUM(B4:C4)</f>
        <v>31</v>
      </c>
      <c r="E4" s="82">
        <f t="shared" ref="E4" si="8">ROUND((O4/B4), 0)</f>
        <v>23</v>
      </c>
      <c r="F4" s="82">
        <f t="shared" ref="F4" si="9">ROUND((O4/D4), 0)</f>
        <v>19</v>
      </c>
      <c r="G4" s="66">
        <v>25</v>
      </c>
      <c r="H4" s="66">
        <v>6</v>
      </c>
      <c r="I4" s="66">
        <v>315</v>
      </c>
      <c r="J4" s="66">
        <v>435</v>
      </c>
      <c r="K4" s="106">
        <f t="shared" ref="K4" si="10">SUM(I4:J4)</f>
        <v>750</v>
      </c>
      <c r="L4" s="66">
        <v>253</v>
      </c>
      <c r="M4" s="106">
        <f t="shared" ref="M4" si="11">(I4+L4)</f>
        <v>568</v>
      </c>
      <c r="N4" s="66">
        <v>78</v>
      </c>
      <c r="O4" s="66">
        <v>578</v>
      </c>
      <c r="P4" s="133">
        <f t="shared" ref="P4" si="12">M4/O4</f>
        <v>0.98269896193771622</v>
      </c>
      <c r="Q4" s="66">
        <v>265</v>
      </c>
      <c r="R4" s="66">
        <v>19</v>
      </c>
      <c r="S4" s="304">
        <v>3397714</v>
      </c>
      <c r="T4" s="24">
        <f t="shared" ref="T4" si="13">SUM(U4:V4)</f>
        <v>3649686</v>
      </c>
      <c r="U4" s="304">
        <v>3386725</v>
      </c>
      <c r="V4" s="304">
        <v>262961</v>
      </c>
      <c r="W4" s="135">
        <f t="shared" ref="W4" si="14">V4/T4</f>
        <v>7.2050307889500634E-2</v>
      </c>
    </row>
    <row r="5" spans="1:220" s="72" customFormat="1">
      <c r="A5" s="105">
        <v>2020</v>
      </c>
      <c r="B5" s="66">
        <v>25</v>
      </c>
      <c r="C5" s="66">
        <v>3</v>
      </c>
      <c r="D5" s="23">
        <f>SUM(B5:C5)</f>
        <v>28</v>
      </c>
      <c r="E5" s="82">
        <f>ROUND((O5/B5), 0)</f>
        <v>23</v>
      </c>
      <c r="F5" s="82">
        <f>ROUND((O5/D5), 0)</f>
        <v>21</v>
      </c>
      <c r="G5" s="66">
        <v>25</v>
      </c>
      <c r="H5" s="66">
        <v>3</v>
      </c>
      <c r="I5" s="66">
        <v>316</v>
      </c>
      <c r="J5" s="66">
        <v>401</v>
      </c>
      <c r="K5" s="106">
        <v>717</v>
      </c>
      <c r="L5" s="66">
        <v>229</v>
      </c>
      <c r="M5" s="106">
        <v>556</v>
      </c>
      <c r="N5" s="66">
        <v>81</v>
      </c>
      <c r="O5" s="66">
        <v>578</v>
      </c>
      <c r="P5" s="133">
        <f t="shared" ref="P5" si="15">M5/O5</f>
        <v>0.96193771626297575</v>
      </c>
      <c r="Q5" s="66">
        <v>274</v>
      </c>
      <c r="R5" s="66">
        <v>9</v>
      </c>
      <c r="S5" s="304">
        <v>3716124</v>
      </c>
      <c r="T5" s="24">
        <f>SUM(U5:V5)</f>
        <v>4557892</v>
      </c>
      <c r="U5" s="304">
        <f>-559236+4557892</f>
        <v>3998656</v>
      </c>
      <c r="V5" s="304">
        <v>559236</v>
      </c>
      <c r="W5" s="135">
        <f t="shared" ref="W5" si="16">V5/T5</f>
        <v>0.12269619376676762</v>
      </c>
    </row>
    <row r="6" spans="1:220" s="14" customFormat="1">
      <c r="A6" s="10">
        <v>2019</v>
      </c>
      <c r="B6" s="17">
        <v>23</v>
      </c>
      <c r="C6" s="17">
        <v>4</v>
      </c>
      <c r="D6" s="23">
        <f>SUM(B6:C6)</f>
        <v>27</v>
      </c>
      <c r="E6" s="82">
        <f>ROUND((O6/B6), 0)</f>
        <v>24</v>
      </c>
      <c r="F6" s="82">
        <f>ROUND((O6/D6), 0)</f>
        <v>21</v>
      </c>
      <c r="G6" s="17">
        <v>23</v>
      </c>
      <c r="H6" s="17">
        <v>4</v>
      </c>
      <c r="I6" s="17">
        <v>297</v>
      </c>
      <c r="J6" s="17">
        <v>391</v>
      </c>
      <c r="K6" s="23">
        <f t="shared" ref="K6" si="17">SUM(I6:J6)</f>
        <v>688</v>
      </c>
      <c r="L6" s="17">
        <v>230</v>
      </c>
      <c r="M6" s="82">
        <f>(I6+L6)</f>
        <v>527</v>
      </c>
      <c r="N6" s="17">
        <v>86</v>
      </c>
      <c r="O6" s="17">
        <v>563</v>
      </c>
      <c r="P6" s="133">
        <f t="shared" ref="P6" si="18">M6/O6</f>
        <v>0.93605683836589693</v>
      </c>
      <c r="Q6" s="17">
        <v>262</v>
      </c>
      <c r="R6" s="17">
        <v>17</v>
      </c>
      <c r="S6" s="20">
        <v>4822194.1399999997</v>
      </c>
      <c r="T6" s="24">
        <f>SUM(U6:V6)</f>
        <v>5300633.9499999993</v>
      </c>
      <c r="U6" s="20">
        <v>4628821.68</v>
      </c>
      <c r="V6" s="20">
        <v>671812.27</v>
      </c>
      <c r="W6" s="135">
        <f t="shared" ref="W6" si="19">V6/T6</f>
        <v>0.12674187207362245</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25</v>
      </c>
      <c r="C7" s="17">
        <v>7</v>
      </c>
      <c r="D7" s="23">
        <f>SUM(B7:C7)</f>
        <v>32</v>
      </c>
      <c r="E7" s="82">
        <f>ROUND((O7/B7), 0)</f>
        <v>24</v>
      </c>
      <c r="F7" s="82">
        <f>ROUND((O7/D7), 0)</f>
        <v>18</v>
      </c>
      <c r="G7" s="17">
        <v>25</v>
      </c>
      <c r="H7" s="17">
        <v>7</v>
      </c>
      <c r="I7" s="17">
        <v>330</v>
      </c>
      <c r="J7" s="17">
        <v>407</v>
      </c>
      <c r="K7" s="23">
        <f>SUM(I7:J7)</f>
        <v>737</v>
      </c>
      <c r="L7" s="17">
        <v>220</v>
      </c>
      <c r="M7" s="82">
        <f>(I7+L7)</f>
        <v>550</v>
      </c>
      <c r="N7" s="17">
        <v>98</v>
      </c>
      <c r="O7" s="17">
        <v>589</v>
      </c>
      <c r="P7" s="133">
        <f>M7/O7</f>
        <v>0.93378607809847203</v>
      </c>
      <c r="Q7" s="17">
        <v>298</v>
      </c>
      <c r="R7" s="17">
        <v>55</v>
      </c>
      <c r="S7" s="20">
        <v>8331805</v>
      </c>
      <c r="T7" s="24">
        <f>SUM(U7:V7)</f>
        <v>7863557</v>
      </c>
      <c r="U7" s="20">
        <v>5702428</v>
      </c>
      <c r="V7" s="20">
        <v>2161129</v>
      </c>
      <c r="W7" s="135">
        <f>V7/T7</f>
        <v>0.27482842688111753</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24</v>
      </c>
      <c r="C8" s="17">
        <v>7</v>
      </c>
      <c r="D8" s="27">
        <f>SUM(B8:C8)</f>
        <v>31</v>
      </c>
      <c r="E8" s="27">
        <f>ROUND((O8/B8), 0)</f>
        <v>27</v>
      </c>
      <c r="F8" s="27">
        <f>ROUND((O8/D8), 0)</f>
        <v>21</v>
      </c>
      <c r="G8" s="17">
        <v>24</v>
      </c>
      <c r="H8" s="17">
        <v>7</v>
      </c>
      <c r="I8" s="17">
        <v>324</v>
      </c>
      <c r="J8" s="17">
        <v>424</v>
      </c>
      <c r="K8" s="27">
        <f>SUM(I8:J8)</f>
        <v>748</v>
      </c>
      <c r="L8" s="17">
        <v>253</v>
      </c>
      <c r="M8" s="29">
        <f>(I8+L8)</f>
        <v>577</v>
      </c>
      <c r="N8" s="255">
        <v>78</v>
      </c>
      <c r="O8" s="255">
        <v>652</v>
      </c>
      <c r="P8" s="133">
        <f t="shared" ref="P8:P23" si="20">M8/O8</f>
        <v>0.88496932515337423</v>
      </c>
      <c r="Q8" s="17">
        <v>270</v>
      </c>
      <c r="R8" s="17">
        <v>27</v>
      </c>
      <c r="S8" s="223">
        <v>8375703</v>
      </c>
      <c r="T8" s="28">
        <f>SUM(U8:V8)</f>
        <v>9184066</v>
      </c>
      <c r="U8" s="252">
        <v>5260061</v>
      </c>
      <c r="V8" s="20">
        <v>3924005</v>
      </c>
      <c r="W8" s="135">
        <f t="shared" ref="W8:W23" si="21">V8/T8</f>
        <v>0.427262282305027</v>
      </c>
    </row>
    <row r="9" spans="1:220" s="9" customFormat="1">
      <c r="A9" s="10">
        <v>2016</v>
      </c>
      <c r="B9" s="54">
        <v>27</v>
      </c>
      <c r="C9" s="54">
        <v>6.25</v>
      </c>
      <c r="D9" s="65">
        <f>B9+C9</f>
        <v>33.25</v>
      </c>
      <c r="E9" s="13">
        <f>ROUND((O9/B9), 0)</f>
        <v>24</v>
      </c>
      <c r="F9" s="13">
        <f>ROUND((O9/D9), 0)</f>
        <v>20</v>
      </c>
      <c r="G9" s="54">
        <v>22</v>
      </c>
      <c r="H9" s="54">
        <v>4.5</v>
      </c>
      <c r="I9" s="54">
        <v>240</v>
      </c>
      <c r="J9" s="54">
        <v>402</v>
      </c>
      <c r="K9" s="65">
        <f>I9+J9</f>
        <v>642</v>
      </c>
      <c r="L9" s="54">
        <v>242</v>
      </c>
      <c r="M9" s="13">
        <f>I9+L9</f>
        <v>482</v>
      </c>
      <c r="N9" s="54">
        <v>73</v>
      </c>
      <c r="O9" s="54">
        <v>656</v>
      </c>
      <c r="P9" s="133">
        <f t="shared" si="20"/>
        <v>0.7347560975609756</v>
      </c>
      <c r="Q9" s="54">
        <v>268</v>
      </c>
      <c r="R9" s="54">
        <v>48</v>
      </c>
      <c r="S9" s="58">
        <v>8244849</v>
      </c>
      <c r="T9" s="68">
        <f>SUM(U9:V9)</f>
        <v>8862383</v>
      </c>
      <c r="U9" s="58">
        <v>5022766</v>
      </c>
      <c r="V9" s="58">
        <v>3839617</v>
      </c>
      <c r="W9" s="135">
        <f t="shared" si="21"/>
        <v>0.43324882257966058</v>
      </c>
    </row>
    <row r="10" spans="1:220" s="16" customFormat="1">
      <c r="A10" s="57">
        <v>2015</v>
      </c>
      <c r="B10" s="70">
        <v>25</v>
      </c>
      <c r="C10" s="70">
        <v>4.33</v>
      </c>
      <c r="D10" s="65">
        <v>23.33</v>
      </c>
      <c r="E10" s="65">
        <v>33.4</v>
      </c>
      <c r="F10" s="65">
        <v>27.2</v>
      </c>
      <c r="G10" s="83"/>
      <c r="H10" s="83"/>
      <c r="I10" s="70">
        <v>285</v>
      </c>
      <c r="J10" s="70">
        <v>403</v>
      </c>
      <c r="K10" s="65">
        <v>688</v>
      </c>
      <c r="L10" s="70">
        <v>244</v>
      </c>
      <c r="M10" s="65">
        <v>529</v>
      </c>
      <c r="N10" s="70">
        <v>93</v>
      </c>
      <c r="O10" s="70">
        <v>635</v>
      </c>
      <c r="P10" s="133">
        <f t="shared" si="20"/>
        <v>0.83307086614173231</v>
      </c>
      <c r="Q10" s="70">
        <v>230</v>
      </c>
      <c r="R10" s="70">
        <v>47</v>
      </c>
      <c r="S10" s="78">
        <v>7316277</v>
      </c>
      <c r="T10" s="79">
        <v>7330764</v>
      </c>
      <c r="U10" s="78">
        <v>4908338</v>
      </c>
      <c r="V10" s="78">
        <v>2422426</v>
      </c>
      <c r="W10" s="135">
        <f t="shared" si="21"/>
        <v>0.33044659465234455</v>
      </c>
    </row>
    <row r="11" spans="1:220" s="16" customFormat="1">
      <c r="A11" s="15">
        <v>2014</v>
      </c>
      <c r="B11" s="70">
        <v>25</v>
      </c>
      <c r="C11" s="70">
        <v>4.92</v>
      </c>
      <c r="D11" s="65">
        <f>B11+C11</f>
        <v>29.92</v>
      </c>
      <c r="E11" s="13">
        <f t="shared" ref="E11:E23" si="22">ROUND((O11/B11), 0)</f>
        <v>21</v>
      </c>
      <c r="F11" s="13">
        <f t="shared" ref="F11:F23" si="23">ROUND((O11/D11), 0)</f>
        <v>17</v>
      </c>
      <c r="G11" s="83"/>
      <c r="H11" s="83"/>
      <c r="I11" s="70">
        <v>39</v>
      </c>
      <c r="J11" s="70">
        <v>633</v>
      </c>
      <c r="K11" s="65">
        <f>I11+J11</f>
        <v>672</v>
      </c>
      <c r="L11" s="70">
        <v>387.1</v>
      </c>
      <c r="M11" s="13">
        <f>I11+L11</f>
        <v>426.1</v>
      </c>
      <c r="N11" s="70">
        <v>79</v>
      </c>
      <c r="O11" s="70">
        <v>514</v>
      </c>
      <c r="P11" s="133">
        <f t="shared" si="20"/>
        <v>0.82898832684824908</v>
      </c>
      <c r="Q11" s="70">
        <v>232</v>
      </c>
      <c r="R11" s="70">
        <v>63</v>
      </c>
      <c r="S11" s="71">
        <v>6696947</v>
      </c>
      <c r="T11" s="68">
        <f t="shared" ref="T11:T23" si="24">SUM(U11:V11)</f>
        <v>6717907</v>
      </c>
      <c r="U11" s="71">
        <v>5052689</v>
      </c>
      <c r="V11" s="71">
        <v>1665218</v>
      </c>
      <c r="W11" s="135">
        <f t="shared" si="21"/>
        <v>0.24787750113242116</v>
      </c>
    </row>
    <row r="12" spans="1:220">
      <c r="A12" s="15">
        <v>2013</v>
      </c>
      <c r="B12" s="528">
        <v>26</v>
      </c>
      <c r="C12" s="528">
        <v>4.92</v>
      </c>
      <c r="D12" s="23">
        <f>B12+C12</f>
        <v>30.92</v>
      </c>
      <c r="E12" s="82">
        <f t="shared" si="22"/>
        <v>18</v>
      </c>
      <c r="F12" s="82">
        <f t="shared" si="23"/>
        <v>16</v>
      </c>
      <c r="G12" s="85"/>
      <c r="H12" s="85"/>
      <c r="I12" s="528">
        <v>39</v>
      </c>
      <c r="J12" s="528">
        <v>570</v>
      </c>
      <c r="K12" s="23">
        <f>I12+J12</f>
        <v>609</v>
      </c>
      <c r="L12" s="528">
        <v>346.7</v>
      </c>
      <c r="M12" s="82">
        <f>I12+L12</f>
        <v>385.7</v>
      </c>
      <c r="N12" s="528">
        <v>37</v>
      </c>
      <c r="O12" s="528">
        <v>480</v>
      </c>
      <c r="P12" s="133">
        <f t="shared" si="20"/>
        <v>0.8035416666666666</v>
      </c>
      <c r="Q12" s="528">
        <v>293</v>
      </c>
      <c r="R12" s="528">
        <v>3</v>
      </c>
      <c r="S12" s="84">
        <v>6383783</v>
      </c>
      <c r="T12" s="24">
        <f t="shared" si="24"/>
        <v>6297104</v>
      </c>
      <c r="U12" s="84">
        <v>4627186</v>
      </c>
      <c r="V12" s="84">
        <v>1669918</v>
      </c>
      <c r="W12" s="135">
        <f t="shared" si="21"/>
        <v>0.2651882516153457</v>
      </c>
    </row>
    <row r="13" spans="1:220">
      <c r="A13" s="15">
        <v>2012</v>
      </c>
      <c r="B13" s="528">
        <v>24</v>
      </c>
      <c r="C13" s="528">
        <v>6.5</v>
      </c>
      <c r="D13" s="23">
        <f>B13+C13</f>
        <v>30.5</v>
      </c>
      <c r="E13" s="82">
        <f t="shared" si="22"/>
        <v>18</v>
      </c>
      <c r="F13" s="82">
        <f t="shared" si="23"/>
        <v>14</v>
      </c>
      <c r="G13" s="85"/>
      <c r="H13" s="85"/>
      <c r="I13" s="528">
        <v>49</v>
      </c>
      <c r="J13" s="528">
        <v>581</v>
      </c>
      <c r="K13" s="23">
        <f>I13+J13</f>
        <v>630</v>
      </c>
      <c r="L13" s="528">
        <v>364.8</v>
      </c>
      <c r="M13" s="82">
        <f>I13+L13</f>
        <v>413.8</v>
      </c>
      <c r="N13" s="528">
        <v>45</v>
      </c>
      <c r="O13" s="528">
        <v>439.70000000000005</v>
      </c>
      <c r="P13" s="133">
        <f t="shared" si="20"/>
        <v>0.94109620195587895</v>
      </c>
      <c r="Q13" s="528">
        <v>202</v>
      </c>
      <c r="R13" s="528">
        <v>3</v>
      </c>
      <c r="S13" s="84">
        <v>6356329</v>
      </c>
      <c r="T13" s="24">
        <f t="shared" si="24"/>
        <v>6359653</v>
      </c>
      <c r="U13" s="84">
        <v>4571692</v>
      </c>
      <c r="V13" s="84">
        <v>1787961</v>
      </c>
      <c r="W13" s="135">
        <f t="shared" si="21"/>
        <v>0.28114128239386643</v>
      </c>
    </row>
    <row r="14" spans="1:220">
      <c r="A14" s="15" t="s">
        <v>26</v>
      </c>
      <c r="B14" s="528">
        <v>23</v>
      </c>
      <c r="C14" s="528">
        <v>4.3</v>
      </c>
      <c r="D14" s="23">
        <f t="shared" ref="D14:D23" si="25">SUM(B14:C14)</f>
        <v>27.3</v>
      </c>
      <c r="E14" s="82">
        <f t="shared" si="22"/>
        <v>25</v>
      </c>
      <c r="F14" s="82">
        <f t="shared" si="23"/>
        <v>21</v>
      </c>
      <c r="G14" s="85"/>
      <c r="H14" s="85"/>
      <c r="I14" s="528">
        <v>66</v>
      </c>
      <c r="J14" s="528">
        <v>663</v>
      </c>
      <c r="K14" s="23">
        <f>SUM(I14:J14)</f>
        <v>729</v>
      </c>
      <c r="L14" s="528">
        <v>495.2</v>
      </c>
      <c r="M14" s="82">
        <f>(I14+L14)</f>
        <v>561.20000000000005</v>
      </c>
      <c r="N14" s="528">
        <v>60</v>
      </c>
      <c r="O14" s="528">
        <v>581.9</v>
      </c>
      <c r="P14" s="133">
        <f t="shared" si="20"/>
        <v>0.96442687747035583</v>
      </c>
      <c r="Q14" s="528">
        <v>327</v>
      </c>
      <c r="R14" s="528">
        <v>3</v>
      </c>
      <c r="S14" s="84">
        <v>5964604</v>
      </c>
      <c r="T14" s="24">
        <f t="shared" si="24"/>
        <v>6126253</v>
      </c>
      <c r="U14" s="84">
        <v>4438311</v>
      </c>
      <c r="V14" s="84">
        <v>1687942</v>
      </c>
      <c r="W14" s="135">
        <f t="shared" si="21"/>
        <v>0.27552600259897853</v>
      </c>
    </row>
    <row r="15" spans="1:220">
      <c r="A15" s="15" t="s">
        <v>27</v>
      </c>
      <c r="B15" s="528">
        <v>23</v>
      </c>
      <c r="C15" s="528">
        <v>4.66</v>
      </c>
      <c r="D15" s="23">
        <f t="shared" si="25"/>
        <v>27.66</v>
      </c>
      <c r="E15" s="82">
        <f t="shared" si="22"/>
        <v>25</v>
      </c>
      <c r="F15" s="82">
        <f t="shared" si="23"/>
        <v>20</v>
      </c>
      <c r="G15" s="85"/>
      <c r="H15" s="85"/>
      <c r="I15" s="528">
        <v>84</v>
      </c>
      <c r="J15" s="528">
        <v>712</v>
      </c>
      <c r="K15" s="23">
        <f>SUM(I15:J15)</f>
        <v>796</v>
      </c>
      <c r="L15" s="528">
        <v>469</v>
      </c>
      <c r="M15" s="82">
        <f>(I15+L15)</f>
        <v>553</v>
      </c>
      <c r="N15" s="528">
        <v>36</v>
      </c>
      <c r="O15" s="528">
        <v>566.4</v>
      </c>
      <c r="P15" s="133">
        <f t="shared" si="20"/>
        <v>0.97634180790960456</v>
      </c>
      <c r="Q15" s="528">
        <v>277</v>
      </c>
      <c r="R15" s="528">
        <v>1</v>
      </c>
      <c r="S15" s="84">
        <v>6039498.9329949999</v>
      </c>
      <c r="T15" s="24">
        <f t="shared" si="24"/>
        <v>5169279</v>
      </c>
      <c r="U15" s="84">
        <v>4452788</v>
      </c>
      <c r="V15" s="84">
        <v>716491</v>
      </c>
      <c r="W15" s="135">
        <f t="shared" si="21"/>
        <v>0.13860559664123373</v>
      </c>
    </row>
    <row r="16" spans="1:220">
      <c r="A16" s="15" t="s">
        <v>28</v>
      </c>
      <c r="B16" s="528">
        <v>25</v>
      </c>
      <c r="C16" s="528">
        <v>6.2</v>
      </c>
      <c r="D16" s="23">
        <f t="shared" si="25"/>
        <v>31.2</v>
      </c>
      <c r="E16" s="82">
        <f t="shared" si="22"/>
        <v>22</v>
      </c>
      <c r="F16" s="82">
        <f t="shared" si="23"/>
        <v>17</v>
      </c>
      <c r="G16" s="85"/>
      <c r="H16" s="85"/>
      <c r="I16" s="528">
        <v>286</v>
      </c>
      <c r="J16" s="528">
        <v>470</v>
      </c>
      <c r="K16" s="23">
        <f>SUM(I16:J16)</f>
        <v>756</v>
      </c>
      <c r="L16" s="528">
        <v>246.57</v>
      </c>
      <c r="M16" s="82">
        <f>(I16+L16)</f>
        <v>532.56999999999994</v>
      </c>
      <c r="N16" s="528">
        <v>66</v>
      </c>
      <c r="O16" s="528">
        <v>545.62</v>
      </c>
      <c r="P16" s="133">
        <f t="shared" si="20"/>
        <v>0.97608225504930157</v>
      </c>
      <c r="Q16" s="528">
        <v>243</v>
      </c>
      <c r="R16" s="528">
        <v>10</v>
      </c>
      <c r="S16" s="84">
        <v>5702568</v>
      </c>
      <c r="T16" s="24">
        <f t="shared" si="24"/>
        <v>4877921</v>
      </c>
      <c r="U16" s="84">
        <v>4418651</v>
      </c>
      <c r="V16" s="84">
        <v>459270</v>
      </c>
      <c r="W16" s="135">
        <f t="shared" si="21"/>
        <v>9.4152816333023845E-2</v>
      </c>
    </row>
    <row r="17" spans="1:258">
      <c r="A17" s="15" t="s">
        <v>29</v>
      </c>
      <c r="B17" s="528">
        <v>23</v>
      </c>
      <c r="C17" s="528">
        <v>5.9</v>
      </c>
      <c r="D17" s="23">
        <f t="shared" si="25"/>
        <v>28.9</v>
      </c>
      <c r="E17" s="82">
        <f t="shared" si="22"/>
        <v>17</v>
      </c>
      <c r="F17" s="82">
        <f t="shared" si="23"/>
        <v>13</v>
      </c>
      <c r="G17" s="85"/>
      <c r="H17" s="85"/>
      <c r="I17" s="528">
        <v>202</v>
      </c>
      <c r="J17" s="528">
        <v>492</v>
      </c>
      <c r="K17" s="23">
        <f>SUM(I17:J17)</f>
        <v>694</v>
      </c>
      <c r="L17" s="528">
        <v>164</v>
      </c>
      <c r="M17" s="82">
        <f>(I17+L17)</f>
        <v>366</v>
      </c>
      <c r="N17" s="528">
        <v>46</v>
      </c>
      <c r="O17" s="528">
        <v>380.67</v>
      </c>
      <c r="P17" s="133">
        <f t="shared" si="20"/>
        <v>0.96146268421467407</v>
      </c>
      <c r="Q17" s="528">
        <v>283</v>
      </c>
      <c r="R17" s="528">
        <v>1</v>
      </c>
      <c r="S17" s="84">
        <v>6610529</v>
      </c>
      <c r="T17" s="24">
        <f t="shared" si="24"/>
        <v>5549526</v>
      </c>
      <c r="U17" s="84">
        <v>4195514</v>
      </c>
      <c r="V17" s="84">
        <v>1354012</v>
      </c>
      <c r="W17" s="135">
        <f t="shared" si="21"/>
        <v>0.24398696393169433</v>
      </c>
    </row>
    <row r="18" spans="1:258">
      <c r="A18" s="15">
        <v>2007</v>
      </c>
      <c r="B18" s="528">
        <v>19</v>
      </c>
      <c r="C18" s="528">
        <v>5.8</v>
      </c>
      <c r="D18" s="23">
        <f t="shared" si="25"/>
        <v>24.8</v>
      </c>
      <c r="E18" s="82">
        <f t="shared" si="22"/>
        <v>12</v>
      </c>
      <c r="F18" s="82">
        <f t="shared" si="23"/>
        <v>10</v>
      </c>
      <c r="G18" s="85"/>
      <c r="H18" s="85"/>
      <c r="I18" s="528">
        <v>39</v>
      </c>
      <c r="J18" s="528">
        <v>650</v>
      </c>
      <c r="K18" s="23">
        <v>689</v>
      </c>
      <c r="L18" s="528">
        <v>217</v>
      </c>
      <c r="M18" s="23">
        <v>229</v>
      </c>
      <c r="N18" s="528">
        <v>43</v>
      </c>
      <c r="O18" s="528">
        <v>236</v>
      </c>
      <c r="P18" s="133">
        <f t="shared" si="20"/>
        <v>0.97033898305084743</v>
      </c>
      <c r="Q18" s="528">
        <v>213</v>
      </c>
      <c r="R18" s="528">
        <v>1</v>
      </c>
      <c r="S18" s="132">
        <v>6098479</v>
      </c>
      <c r="T18" s="24">
        <f t="shared" si="24"/>
        <v>5124670</v>
      </c>
      <c r="U18" s="132">
        <v>3994133</v>
      </c>
      <c r="V18" s="132">
        <v>1130537</v>
      </c>
      <c r="W18" s="135">
        <f t="shared" si="21"/>
        <v>0.22060679029088703</v>
      </c>
    </row>
    <row r="19" spans="1:258">
      <c r="A19" s="15">
        <v>2006</v>
      </c>
      <c r="B19" s="528">
        <v>20</v>
      </c>
      <c r="C19" s="528">
        <v>8</v>
      </c>
      <c r="D19" s="23">
        <f t="shared" si="25"/>
        <v>28</v>
      </c>
      <c r="E19" s="82">
        <f t="shared" si="22"/>
        <v>18</v>
      </c>
      <c r="F19" s="82">
        <f t="shared" si="23"/>
        <v>13</v>
      </c>
      <c r="G19" s="85"/>
      <c r="H19" s="85"/>
      <c r="I19" s="528">
        <v>215</v>
      </c>
      <c r="J19" s="528">
        <v>398</v>
      </c>
      <c r="K19" s="23">
        <f>SUM(I19:J19)</f>
        <v>613</v>
      </c>
      <c r="L19" s="528">
        <v>133</v>
      </c>
      <c r="M19" s="82">
        <f>(I19+L19)</f>
        <v>348</v>
      </c>
      <c r="N19" s="528">
        <v>34</v>
      </c>
      <c r="O19" s="528">
        <v>352</v>
      </c>
      <c r="P19" s="133">
        <f t="shared" si="20"/>
        <v>0.98863636363636365</v>
      </c>
      <c r="Q19" s="528">
        <v>301</v>
      </c>
      <c r="R19" s="528">
        <v>1</v>
      </c>
      <c r="S19" s="132">
        <v>6088175</v>
      </c>
      <c r="T19" s="24">
        <f t="shared" si="24"/>
        <v>5164893</v>
      </c>
      <c r="U19" s="132">
        <v>4066903</v>
      </c>
      <c r="V19" s="132">
        <v>1097990</v>
      </c>
      <c r="W19" s="135">
        <f t="shared" si="21"/>
        <v>0.21258717266746863</v>
      </c>
    </row>
    <row r="20" spans="1:258">
      <c r="A20" s="15">
        <v>2005</v>
      </c>
      <c r="B20" s="528">
        <v>23</v>
      </c>
      <c r="C20" s="528">
        <v>5</v>
      </c>
      <c r="D20" s="23">
        <f t="shared" si="25"/>
        <v>28</v>
      </c>
      <c r="E20" s="82">
        <f t="shared" si="22"/>
        <v>15</v>
      </c>
      <c r="F20" s="82">
        <f t="shared" si="23"/>
        <v>12</v>
      </c>
      <c r="G20" s="85"/>
      <c r="H20" s="85"/>
      <c r="I20" s="528">
        <v>174</v>
      </c>
      <c r="J20" s="528">
        <v>487</v>
      </c>
      <c r="K20" s="23">
        <f>SUM(I20:J20)</f>
        <v>661</v>
      </c>
      <c r="L20" s="528">
        <v>162</v>
      </c>
      <c r="M20" s="82">
        <f>(I20+L20)</f>
        <v>336</v>
      </c>
      <c r="N20" s="528">
        <v>29</v>
      </c>
      <c r="O20" s="528">
        <v>339</v>
      </c>
      <c r="P20" s="133">
        <f t="shared" si="20"/>
        <v>0.99115044247787609</v>
      </c>
      <c r="Q20" s="528">
        <v>299</v>
      </c>
      <c r="R20" s="528">
        <v>2</v>
      </c>
      <c r="S20" s="132">
        <v>5188021</v>
      </c>
      <c r="T20" s="24">
        <f t="shared" si="24"/>
        <v>4127038</v>
      </c>
      <c r="U20" s="132">
        <v>3676766</v>
      </c>
      <c r="V20" s="132">
        <v>450272</v>
      </c>
      <c r="W20" s="135">
        <f t="shared" si="21"/>
        <v>0.10910294501771003</v>
      </c>
    </row>
    <row r="21" spans="1:258">
      <c r="A21" s="15">
        <v>2004</v>
      </c>
      <c r="B21" s="528">
        <v>20</v>
      </c>
      <c r="C21" s="528">
        <v>9</v>
      </c>
      <c r="D21" s="23">
        <f t="shared" si="25"/>
        <v>29</v>
      </c>
      <c r="E21" s="82">
        <f t="shared" si="22"/>
        <v>11</v>
      </c>
      <c r="F21" s="82">
        <f t="shared" si="23"/>
        <v>8</v>
      </c>
      <c r="G21" s="85"/>
      <c r="H21" s="85"/>
      <c r="I21" s="528">
        <v>177</v>
      </c>
      <c r="J21" s="528">
        <v>472</v>
      </c>
      <c r="K21" s="23">
        <f>SUM(I21:J21)</f>
        <v>649</v>
      </c>
      <c r="L21" s="528">
        <v>157</v>
      </c>
      <c r="M21" s="82">
        <f>(I21+L21)</f>
        <v>334</v>
      </c>
      <c r="N21" s="528">
        <v>27</v>
      </c>
      <c r="O21" s="528">
        <v>222</v>
      </c>
      <c r="P21" s="133">
        <f t="shared" si="20"/>
        <v>1.5045045045045045</v>
      </c>
      <c r="Q21" s="528">
        <v>289</v>
      </c>
      <c r="R21" s="528">
        <v>2</v>
      </c>
      <c r="S21" s="132">
        <v>4675937</v>
      </c>
      <c r="T21" s="24">
        <f t="shared" si="24"/>
        <v>3607003</v>
      </c>
      <c r="U21" s="132">
        <v>3389165</v>
      </c>
      <c r="V21" s="132">
        <v>217838</v>
      </c>
      <c r="W21" s="135">
        <f t="shared" si="21"/>
        <v>6.0393074250284791E-2</v>
      </c>
    </row>
    <row r="22" spans="1:258">
      <c r="A22" s="15">
        <v>2003</v>
      </c>
      <c r="B22" s="528">
        <v>18</v>
      </c>
      <c r="C22" s="528">
        <v>7</v>
      </c>
      <c r="D22" s="23">
        <f t="shared" si="25"/>
        <v>25</v>
      </c>
      <c r="E22" s="82">
        <f t="shared" si="22"/>
        <v>17</v>
      </c>
      <c r="F22" s="82">
        <f t="shared" si="23"/>
        <v>12</v>
      </c>
      <c r="G22" s="85"/>
      <c r="H22" s="85"/>
      <c r="I22" s="528">
        <v>138</v>
      </c>
      <c r="J22" s="528">
        <v>508</v>
      </c>
      <c r="K22" s="23">
        <f>SUM(I22:J22)</f>
        <v>646</v>
      </c>
      <c r="L22" s="528">
        <v>169</v>
      </c>
      <c r="M22" s="82">
        <v>226</v>
      </c>
      <c r="N22" s="528">
        <v>34</v>
      </c>
      <c r="O22" s="528">
        <v>307</v>
      </c>
      <c r="P22" s="133">
        <f t="shared" si="20"/>
        <v>0.73615635179153094</v>
      </c>
      <c r="Q22" s="528">
        <v>230</v>
      </c>
      <c r="R22" s="528">
        <v>0</v>
      </c>
      <c r="S22" s="132">
        <v>4374402</v>
      </c>
      <c r="T22" s="24">
        <f t="shared" si="24"/>
        <v>3151887</v>
      </c>
      <c r="U22" s="132">
        <v>3086696</v>
      </c>
      <c r="V22" s="132">
        <v>65191</v>
      </c>
      <c r="W22" s="135">
        <f t="shared" si="21"/>
        <v>2.0683165354595516E-2</v>
      </c>
    </row>
    <row r="23" spans="1:258">
      <c r="A23" s="75">
        <v>2002</v>
      </c>
      <c r="B23" s="536">
        <v>13</v>
      </c>
      <c r="C23" s="536">
        <v>5</v>
      </c>
      <c r="D23" s="188">
        <f t="shared" si="25"/>
        <v>18</v>
      </c>
      <c r="E23" s="189">
        <f t="shared" si="22"/>
        <v>19</v>
      </c>
      <c r="F23" s="189">
        <f t="shared" si="23"/>
        <v>13</v>
      </c>
      <c r="G23" s="85"/>
      <c r="H23" s="85"/>
      <c r="I23" s="536">
        <v>94</v>
      </c>
      <c r="J23" s="536">
        <v>434</v>
      </c>
      <c r="K23" s="188">
        <f>SUM(I23:J23)</f>
        <v>528</v>
      </c>
      <c r="L23" s="536">
        <f>ROUND(144.66, 0)</f>
        <v>145</v>
      </c>
      <c r="M23" s="189">
        <f>(I23+L23)</f>
        <v>239</v>
      </c>
      <c r="N23" s="536">
        <v>28</v>
      </c>
      <c r="O23" s="536">
        <f>ROUND(240.66, 0)</f>
        <v>241</v>
      </c>
      <c r="P23" s="133">
        <f t="shared" si="20"/>
        <v>0.99170124481327804</v>
      </c>
      <c r="Q23" s="536">
        <v>214</v>
      </c>
      <c r="R23" s="536">
        <v>2</v>
      </c>
      <c r="S23" s="191">
        <v>4045622</v>
      </c>
      <c r="T23" s="192">
        <f t="shared" si="24"/>
        <v>4045622</v>
      </c>
      <c r="U23" s="191">
        <v>2745021</v>
      </c>
      <c r="V23" s="191">
        <v>1300601</v>
      </c>
      <c r="W23" s="135">
        <f t="shared" si="21"/>
        <v>0.32148356915203646</v>
      </c>
    </row>
    <row r="24" spans="1:258" ht="14.45" customHeight="1">
      <c r="A24" s="546" t="s">
        <v>183</v>
      </c>
      <c r="B24" s="538"/>
      <c r="C24" s="538"/>
      <c r="D24" s="538"/>
      <c r="E24" s="538"/>
      <c r="F24" s="538"/>
      <c r="G24" s="538"/>
      <c r="H24" s="538"/>
      <c r="I24" s="538"/>
      <c r="J24" s="538"/>
      <c r="K24" s="538"/>
      <c r="L24" s="538"/>
      <c r="M24" s="538"/>
      <c r="N24" s="538"/>
      <c r="O24" s="538"/>
      <c r="P24" s="538"/>
      <c r="Q24" s="538"/>
      <c r="R24" s="538"/>
      <c r="S24" s="538"/>
      <c r="T24" s="538"/>
      <c r="U24" s="538"/>
      <c r="V24" s="538"/>
      <c r="W24" s="538"/>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row>
    <row r="25" spans="1:258" s="12" customFormat="1">
      <c r="A25" s="564" t="s">
        <v>184</v>
      </c>
      <c r="B25" s="565"/>
      <c r="C25" s="565"/>
      <c r="D25" s="565"/>
      <c r="E25" s="565"/>
      <c r="F25" s="565"/>
      <c r="G25" s="565"/>
      <c r="H25" s="565"/>
      <c r="I25" s="565"/>
      <c r="J25" s="565"/>
      <c r="K25" s="565"/>
      <c r="L25" s="565"/>
      <c r="M25" s="565"/>
      <c r="N25" s="565"/>
      <c r="O25" s="565"/>
      <c r="P25" s="565"/>
      <c r="Q25" s="565"/>
      <c r="R25" s="565"/>
      <c r="S25" s="565"/>
      <c r="T25" s="565"/>
      <c r="U25" s="565"/>
      <c r="V25" s="565"/>
      <c r="W25" s="565"/>
    </row>
    <row r="26" spans="1:258">
      <c r="A26" s="577" t="s">
        <v>185</v>
      </c>
      <c r="B26" s="576"/>
      <c r="C26" s="576"/>
      <c r="D26" s="576"/>
      <c r="E26" s="576"/>
      <c r="F26" s="576"/>
      <c r="G26" s="576"/>
      <c r="H26" s="576"/>
      <c r="I26" s="576"/>
      <c r="J26" s="576"/>
      <c r="K26" s="576"/>
      <c r="L26" s="576"/>
      <c r="M26" s="576"/>
      <c r="N26" s="576"/>
      <c r="O26" s="576"/>
      <c r="P26" s="576"/>
      <c r="Q26" s="576"/>
      <c r="R26" s="576"/>
      <c r="S26" s="576"/>
      <c r="T26" s="576"/>
      <c r="U26" s="576"/>
      <c r="V26" s="576"/>
      <c r="W26" s="576"/>
    </row>
    <row r="27" spans="1:258" s="12" customFormat="1">
      <c r="A27" s="534" t="s">
        <v>186</v>
      </c>
      <c r="B27" s="341" t="s">
        <v>187</v>
      </c>
      <c r="C27" s="341"/>
      <c r="D27" s="341"/>
      <c r="E27" s="341"/>
      <c r="F27" s="341"/>
      <c r="G27" s="341"/>
      <c r="H27" s="341"/>
      <c r="I27" s="341"/>
      <c r="J27" s="341"/>
      <c r="K27" s="341"/>
      <c r="L27" s="341"/>
      <c r="M27" s="341"/>
      <c r="N27" s="341"/>
      <c r="O27" s="341"/>
      <c r="P27" s="341"/>
      <c r="Q27" s="341"/>
      <c r="R27" s="341"/>
      <c r="S27" s="341"/>
      <c r="T27" s="341"/>
      <c r="U27" s="341"/>
      <c r="V27" s="341"/>
      <c r="W27" s="342"/>
    </row>
    <row r="28" spans="1:258" s="12" customFormat="1"/>
    <row r="29" spans="1:258" s="12" customFormat="1"/>
    <row r="30" spans="1:258" s="12" customFormat="1"/>
    <row r="31" spans="1:258" s="12" customFormat="1"/>
    <row r="32" spans="1:258" s="12" customFormat="1"/>
    <row r="33" s="12" customFormat="1"/>
    <row r="34" s="12" customFormat="1"/>
    <row r="35" s="12" customFormat="1"/>
  </sheetData>
  <mergeCells count="3">
    <mergeCell ref="A24:W24"/>
    <mergeCell ref="A25:W25"/>
    <mergeCell ref="A26:W26"/>
  </mergeCells>
  <printOptions headings="1" gridLines="1"/>
  <pageMargins left="0.5" right="0.5" top="0.5" bottom="0.5" header="0" footer="0"/>
  <pageSetup paperSize="5" scale="67" orientation="landscape"/>
  <legacyDrawing r:id="rId1"/>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HL34"/>
  <sheetViews>
    <sheetView workbookViewId="0">
      <selection activeCell="K25" sqref="K25"/>
    </sheetView>
  </sheetViews>
  <sheetFormatPr defaultColWidth="8.85546875" defaultRowHeight="15"/>
  <cols>
    <col min="1" max="1" width="11.140625" customWidth="1"/>
    <col min="2" max="2" width="10.28515625" bestFit="1" customWidth="1"/>
    <col min="3" max="3" width="8.42578125" bestFit="1" customWidth="1"/>
    <col min="4" max="4" width="9.42578125" bestFit="1" customWidth="1"/>
    <col min="5" max="5" width="12.42578125" bestFit="1" customWidth="1"/>
    <col min="6" max="6" width="11.42578125" bestFit="1" customWidth="1"/>
    <col min="7" max="8" width="12.140625" customWidth="1"/>
    <col min="9" max="9" width="9" bestFit="1" customWidth="1"/>
    <col min="10" max="11" width="12" bestFit="1" customWidth="1"/>
    <col min="12" max="12" width="12.42578125" bestFit="1" customWidth="1"/>
    <col min="13" max="13" width="12.85546875" customWidth="1"/>
    <col min="14" max="14" width="11.28515625" customWidth="1"/>
    <col min="15" max="15" width="13.42578125" bestFit="1" customWidth="1"/>
    <col min="16" max="16" width="14.28515625" customWidth="1"/>
    <col min="17" max="17" width="11.42578125" customWidth="1"/>
    <col min="18" max="18" width="9.140625" bestFit="1" customWidth="1"/>
    <col min="19" max="19" width="12" bestFit="1" customWidth="1"/>
    <col min="20" max="20" width="13" bestFit="1" customWidth="1"/>
    <col min="21" max="21" width="10.42578125" bestFit="1" customWidth="1"/>
    <col min="22" max="22" width="11" bestFit="1" customWidth="1"/>
    <col min="23" max="23" width="13" bestFit="1" customWidth="1"/>
  </cols>
  <sheetData>
    <row r="1" spans="1:220" s="7" customFormat="1" ht="18.75">
      <c r="A1" s="1" t="s">
        <v>188</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14" customFormat="1">
      <c r="A3" s="10">
        <v>2022</v>
      </c>
      <c r="B3" s="17">
        <v>16</v>
      </c>
      <c r="C3" s="17">
        <v>3</v>
      </c>
      <c r="D3" s="23">
        <f t="shared" ref="D3" si="0">SUM(B3:C3)</f>
        <v>19</v>
      </c>
      <c r="E3" s="82">
        <f t="shared" ref="E3" si="1">ROUND((O3/B3), 0)</f>
        <v>18</v>
      </c>
      <c r="F3" s="82">
        <f t="shared" ref="F3" si="2">ROUND((O3/D3), 0)</f>
        <v>15</v>
      </c>
      <c r="G3" s="17">
        <v>16</v>
      </c>
      <c r="H3" s="17">
        <v>3</v>
      </c>
      <c r="I3" s="17">
        <v>67</v>
      </c>
      <c r="J3" s="17">
        <v>327</v>
      </c>
      <c r="K3" s="23">
        <f t="shared" ref="K3" si="3">SUM(I3:J3)</f>
        <v>394</v>
      </c>
      <c r="L3" s="17">
        <v>109</v>
      </c>
      <c r="M3" s="82">
        <f t="shared" ref="M3" si="4">(I3+L3)</f>
        <v>176</v>
      </c>
      <c r="N3" s="17">
        <v>82</v>
      </c>
      <c r="O3" s="17">
        <v>287</v>
      </c>
      <c r="P3" s="133">
        <f t="shared" ref="P3" si="5">M3/O3</f>
        <v>0.61324041811846686</v>
      </c>
      <c r="Q3" s="17">
        <v>168</v>
      </c>
      <c r="R3" s="17">
        <v>35</v>
      </c>
      <c r="S3" s="20">
        <v>3783370</v>
      </c>
      <c r="T3" s="24">
        <f t="shared" ref="T3" si="6">SUM(U3:V3)</f>
        <v>3684000</v>
      </c>
      <c r="U3" s="20">
        <v>1945000</v>
      </c>
      <c r="V3" s="20">
        <v>1739000</v>
      </c>
      <c r="W3" s="135">
        <f t="shared" ref="W3" si="7">V3/T3</f>
        <v>0.47204125950054288</v>
      </c>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row>
    <row r="4" spans="1:220" s="14" customFormat="1">
      <c r="A4" s="10">
        <v>2021</v>
      </c>
      <c r="B4" s="17">
        <v>17</v>
      </c>
      <c r="C4" s="17">
        <v>3</v>
      </c>
      <c r="D4" s="23">
        <f>SUM(B4:C4)</f>
        <v>20</v>
      </c>
      <c r="E4" s="82">
        <f t="shared" ref="E4" si="8">ROUND((O4/B4), 0)</f>
        <v>16</v>
      </c>
      <c r="F4" s="82">
        <f t="shared" ref="F4" si="9">ROUND((O4/D4), 0)</f>
        <v>13</v>
      </c>
      <c r="G4" s="17">
        <v>17</v>
      </c>
      <c r="H4" s="17">
        <v>2</v>
      </c>
      <c r="I4" s="17">
        <v>88</v>
      </c>
      <c r="J4" s="17">
        <v>315</v>
      </c>
      <c r="K4" s="23">
        <f t="shared" ref="K4" si="10">SUM(I4:J4)</f>
        <v>403</v>
      </c>
      <c r="L4" s="17">
        <v>105</v>
      </c>
      <c r="M4" s="82">
        <f>(I4+L4)</f>
        <v>193</v>
      </c>
      <c r="N4" s="17">
        <v>78</v>
      </c>
      <c r="O4" s="17">
        <v>269</v>
      </c>
      <c r="P4" s="133">
        <f t="shared" ref="P4" si="11">M4/O4</f>
        <v>0.71747211895910779</v>
      </c>
      <c r="Q4" s="17">
        <v>123</v>
      </c>
      <c r="R4" s="17">
        <v>31</v>
      </c>
      <c r="S4" s="20">
        <v>3227038.15</v>
      </c>
      <c r="T4" s="24">
        <f t="shared" ref="T4" si="12">SUM(U4:V4)</f>
        <v>2816782</v>
      </c>
      <c r="U4" s="20">
        <v>1575891</v>
      </c>
      <c r="V4" s="20">
        <v>1240891</v>
      </c>
      <c r="W4" s="135">
        <f t="shared" ref="W4" si="13">V4/T4</f>
        <v>0.44053497927777158</v>
      </c>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row>
    <row r="5" spans="1:220" s="14" customFormat="1">
      <c r="A5" s="10">
        <v>2020</v>
      </c>
      <c r="B5" s="17">
        <v>18</v>
      </c>
      <c r="C5" s="17">
        <v>0</v>
      </c>
      <c r="D5" s="23">
        <f>SUM(B5:C5)</f>
        <v>18</v>
      </c>
      <c r="E5" s="82">
        <f>ROUND((O5/B5), 0)</f>
        <v>13</v>
      </c>
      <c r="F5" s="82">
        <f>ROUND((O5/D5), 0)</f>
        <v>13</v>
      </c>
      <c r="G5" s="17">
        <v>18</v>
      </c>
      <c r="H5" s="17">
        <v>0</v>
      </c>
      <c r="I5" s="17">
        <v>57</v>
      </c>
      <c r="J5" s="17">
        <v>301</v>
      </c>
      <c r="K5" s="23">
        <f t="shared" ref="K5" si="14">SUM(I5:J5)</f>
        <v>358</v>
      </c>
      <c r="L5" s="17">
        <v>100</v>
      </c>
      <c r="M5" s="82">
        <f>(I5+L5)</f>
        <v>157</v>
      </c>
      <c r="N5" s="17">
        <v>70</v>
      </c>
      <c r="O5" s="17">
        <v>234.33</v>
      </c>
      <c r="P5" s="133">
        <f t="shared" ref="P5" si="15">M5/O5</f>
        <v>0.66999530576537358</v>
      </c>
      <c r="Q5" s="17">
        <v>132</v>
      </c>
      <c r="R5" s="17">
        <v>17</v>
      </c>
      <c r="S5" s="20">
        <v>3191632</v>
      </c>
      <c r="T5" s="24">
        <f>SUM(U5:V5)</f>
        <v>2846781</v>
      </c>
      <c r="U5" s="20">
        <v>1423389</v>
      </c>
      <c r="V5" s="20">
        <v>1423392</v>
      </c>
      <c r="W5" s="135">
        <f t="shared" ref="W5" si="16">V5/T5</f>
        <v>0.50000052691092145</v>
      </c>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row>
    <row r="6" spans="1:220" s="14" customFormat="1">
      <c r="A6" s="10">
        <v>2019</v>
      </c>
      <c r="B6" s="17">
        <v>18</v>
      </c>
      <c r="C6" s="17">
        <v>0</v>
      </c>
      <c r="D6" s="23">
        <f>SUM(B6:C6)</f>
        <v>18</v>
      </c>
      <c r="E6" s="82">
        <f>ROUND((O6/B6), 0)</f>
        <v>13</v>
      </c>
      <c r="F6" s="82">
        <f>ROUND((O6/D6), 0)</f>
        <v>13</v>
      </c>
      <c r="G6" s="17">
        <v>18</v>
      </c>
      <c r="H6" s="17">
        <v>0</v>
      </c>
      <c r="I6" s="17">
        <v>52</v>
      </c>
      <c r="J6" s="17">
        <v>278</v>
      </c>
      <c r="K6" s="23">
        <f>SUM(I6:J6)</f>
        <v>330</v>
      </c>
      <c r="L6" s="17">
        <v>100</v>
      </c>
      <c r="M6" s="82">
        <f>(I6+L6)</f>
        <v>152</v>
      </c>
      <c r="N6" s="17">
        <v>51</v>
      </c>
      <c r="O6" s="17">
        <v>234.33</v>
      </c>
      <c r="P6" s="133">
        <f>M6/O6</f>
        <v>0.64865787564545718</v>
      </c>
      <c r="Q6" s="17">
        <v>116</v>
      </c>
      <c r="R6" s="17">
        <v>9</v>
      </c>
      <c r="S6" s="20">
        <v>2995790</v>
      </c>
      <c r="T6" s="24">
        <f>SUM(U6:V6)</f>
        <v>3733736</v>
      </c>
      <c r="U6" s="20">
        <v>3222176</v>
      </c>
      <c r="V6" s="20">
        <v>511560</v>
      </c>
      <c r="W6" s="135">
        <f>V6/T6</f>
        <v>0.1370102224688623</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18</v>
      </c>
      <c r="C7" s="17">
        <v>0</v>
      </c>
      <c r="D7" s="23">
        <f>SUM(B7:C7)</f>
        <v>18</v>
      </c>
      <c r="E7" s="82">
        <f>ROUND((O7/B7), 0)</f>
        <v>9</v>
      </c>
      <c r="F7" s="82">
        <f>ROUND((O7/D7), 0)</f>
        <v>9</v>
      </c>
      <c r="G7" s="17">
        <v>18</v>
      </c>
      <c r="H7" s="17">
        <v>0</v>
      </c>
      <c r="I7" s="17">
        <v>6</v>
      </c>
      <c r="J7" s="17">
        <v>300</v>
      </c>
      <c r="K7" s="23">
        <f>SUM(I7:J7)</f>
        <v>306</v>
      </c>
      <c r="L7" s="17">
        <v>108</v>
      </c>
      <c r="M7" s="82">
        <f>(I7+L7)</f>
        <v>114</v>
      </c>
      <c r="N7" s="17">
        <v>46</v>
      </c>
      <c r="O7" s="17">
        <v>160.66</v>
      </c>
      <c r="P7" s="133">
        <f>M7/O7</f>
        <v>0.70957301132827089</v>
      </c>
      <c r="Q7" s="17">
        <v>98</v>
      </c>
      <c r="R7" s="17">
        <v>16</v>
      </c>
      <c r="S7" s="20">
        <v>3199387</v>
      </c>
      <c r="T7" s="24">
        <f>SUM(U7:V7)</f>
        <v>3284880</v>
      </c>
      <c r="U7" s="20">
        <v>2868146</v>
      </c>
      <c r="V7" s="20">
        <v>416734</v>
      </c>
      <c r="W7" s="135">
        <f>V7/T7</f>
        <v>0.12686429945690558</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18</v>
      </c>
      <c r="C8" s="17">
        <v>0</v>
      </c>
      <c r="D8" s="27">
        <f>SUM(B8:C8)</f>
        <v>18</v>
      </c>
      <c r="E8" s="27">
        <f>ROUND((O8/B8), 0)</f>
        <v>14</v>
      </c>
      <c r="F8" s="27">
        <f>ROUND((O8/D8), 0)</f>
        <v>14</v>
      </c>
      <c r="G8" s="17">
        <v>18</v>
      </c>
      <c r="H8" s="17">
        <v>0</v>
      </c>
      <c r="I8" s="17">
        <v>9</v>
      </c>
      <c r="J8" s="17">
        <v>273</v>
      </c>
      <c r="K8" s="27">
        <f>SUM(I8:J8)</f>
        <v>282</v>
      </c>
      <c r="L8" s="17">
        <f>J8*0.36</f>
        <v>98.28</v>
      </c>
      <c r="M8" s="29">
        <f>(I8+L8)</f>
        <v>107.28</v>
      </c>
      <c r="N8" s="255">
        <v>34</v>
      </c>
      <c r="O8" s="255">
        <v>255</v>
      </c>
      <c r="P8" s="133">
        <f t="shared" ref="P8:P23" si="17">M8/O8</f>
        <v>0.42070588235294121</v>
      </c>
      <c r="Q8" s="17">
        <v>108</v>
      </c>
      <c r="R8" s="17">
        <v>18</v>
      </c>
      <c r="S8" s="223">
        <v>2933877</v>
      </c>
      <c r="T8" s="28">
        <f>SUM(U8:V8)</f>
        <v>3456349</v>
      </c>
      <c r="U8" s="252">
        <v>3136778</v>
      </c>
      <c r="V8" s="20">
        <v>319571</v>
      </c>
      <c r="W8" s="135">
        <f t="shared" ref="W8:W23" si="18">V8/T8</f>
        <v>9.2459123774827137E-2</v>
      </c>
    </row>
    <row r="9" spans="1:220" s="9" customFormat="1">
      <c r="A9" s="10">
        <v>2016</v>
      </c>
      <c r="B9" s="54">
        <v>16</v>
      </c>
      <c r="C9" s="54">
        <v>0</v>
      </c>
      <c r="D9" s="65">
        <f>B9+C9</f>
        <v>16</v>
      </c>
      <c r="E9" s="13">
        <f>ROUND((O9/B9), 0)</f>
        <v>11</v>
      </c>
      <c r="F9" s="82">
        <f>ROUND((O9/D9), 0)</f>
        <v>11</v>
      </c>
      <c r="G9" s="66">
        <v>16</v>
      </c>
      <c r="H9" s="66">
        <v>0</v>
      </c>
      <c r="I9" s="54">
        <v>10</v>
      </c>
      <c r="J9" s="54">
        <v>294</v>
      </c>
      <c r="K9" s="23">
        <f>I9+J9</f>
        <v>304</v>
      </c>
      <c r="L9" s="54">
        <v>120</v>
      </c>
      <c r="M9" s="82">
        <f>I9+L9</f>
        <v>130</v>
      </c>
      <c r="N9" s="54">
        <v>35</v>
      </c>
      <c r="O9" s="54">
        <v>183.67</v>
      </c>
      <c r="P9" s="133">
        <f t="shared" si="17"/>
        <v>0.70779114716611313</v>
      </c>
      <c r="Q9" s="54">
        <v>99</v>
      </c>
      <c r="R9" s="54">
        <v>16</v>
      </c>
      <c r="S9" s="58">
        <v>3288888</v>
      </c>
      <c r="T9" s="24">
        <f>SUM(U9:V9)</f>
        <v>3429156</v>
      </c>
      <c r="U9" s="58">
        <v>3183117</v>
      </c>
      <c r="V9" s="58">
        <v>246039</v>
      </c>
      <c r="W9" s="135">
        <f t="shared" si="18"/>
        <v>7.174914177132799E-2</v>
      </c>
    </row>
    <row r="10" spans="1:220" s="16" customFormat="1">
      <c r="A10" s="57">
        <v>2015</v>
      </c>
      <c r="B10" s="70">
        <v>18</v>
      </c>
      <c r="C10" s="70">
        <v>0</v>
      </c>
      <c r="D10" s="65">
        <v>18</v>
      </c>
      <c r="E10" s="65">
        <v>10.1</v>
      </c>
      <c r="F10" s="65">
        <v>10.1</v>
      </c>
      <c r="G10" s="83"/>
      <c r="H10" s="83"/>
      <c r="I10" s="70">
        <v>10</v>
      </c>
      <c r="J10" s="70">
        <v>260</v>
      </c>
      <c r="K10" s="65">
        <v>270</v>
      </c>
      <c r="L10" s="70">
        <v>97</v>
      </c>
      <c r="M10" s="65">
        <v>106.67</v>
      </c>
      <c r="N10" s="70">
        <v>31</v>
      </c>
      <c r="O10" s="70">
        <v>182.01</v>
      </c>
      <c r="P10" s="133">
        <f t="shared" si="17"/>
        <v>0.5860666996318884</v>
      </c>
      <c r="Q10" s="70">
        <v>100</v>
      </c>
      <c r="R10" s="70">
        <v>5</v>
      </c>
      <c r="S10" s="78">
        <v>3595318</v>
      </c>
      <c r="T10" s="79">
        <v>3915291</v>
      </c>
      <c r="U10" s="78">
        <v>2944846</v>
      </c>
      <c r="V10" s="78">
        <v>970445</v>
      </c>
      <c r="W10" s="135">
        <f t="shared" si="18"/>
        <v>0.24786024844641177</v>
      </c>
    </row>
    <row r="11" spans="1:220" s="16" customFormat="1">
      <c r="A11" s="15">
        <v>2014</v>
      </c>
      <c r="B11" s="70">
        <v>18</v>
      </c>
      <c r="C11" s="70">
        <v>0</v>
      </c>
      <c r="D11" s="65">
        <f>B11+C11</f>
        <v>18</v>
      </c>
      <c r="E11" s="13">
        <f t="shared" ref="E11:E23" si="19">ROUND((O11/B11), 0)</f>
        <v>7</v>
      </c>
      <c r="F11" s="13">
        <f t="shared" ref="F11:F23" si="20">ROUND((O11/D11), 0)</f>
        <v>7</v>
      </c>
      <c r="G11" s="83"/>
      <c r="H11" s="83"/>
      <c r="I11" s="70">
        <v>14</v>
      </c>
      <c r="J11" s="70">
        <v>265</v>
      </c>
      <c r="K11" s="65">
        <f>I11+J11</f>
        <v>279</v>
      </c>
      <c r="L11" s="70">
        <v>38.659999999999997</v>
      </c>
      <c r="M11" s="13">
        <f>I11+L11</f>
        <v>52.66</v>
      </c>
      <c r="N11" s="70">
        <v>28</v>
      </c>
      <c r="O11" s="70">
        <v>117</v>
      </c>
      <c r="P11" s="133">
        <f t="shared" si="17"/>
        <v>0.45008547008547006</v>
      </c>
      <c r="Q11" s="70">
        <v>118</v>
      </c>
      <c r="R11" s="70">
        <v>11</v>
      </c>
      <c r="S11" s="71">
        <v>3902506</v>
      </c>
      <c r="T11" s="68">
        <f t="shared" ref="T11:T23" si="21">SUM(U11:V11)</f>
        <v>3106446</v>
      </c>
      <c r="U11" s="71">
        <v>2916425</v>
      </c>
      <c r="V11" s="71">
        <v>190021</v>
      </c>
      <c r="W11" s="135">
        <f t="shared" si="18"/>
        <v>6.1169902840738255E-2</v>
      </c>
    </row>
    <row r="12" spans="1:220">
      <c r="A12" s="15">
        <v>2013</v>
      </c>
      <c r="B12" s="528">
        <v>17</v>
      </c>
      <c r="C12" s="528">
        <v>3</v>
      </c>
      <c r="D12" s="23">
        <f>B12+C12</f>
        <v>20</v>
      </c>
      <c r="E12" s="82">
        <f t="shared" si="19"/>
        <v>10</v>
      </c>
      <c r="F12" s="82">
        <f t="shared" si="20"/>
        <v>9</v>
      </c>
      <c r="G12" s="85"/>
      <c r="H12" s="85"/>
      <c r="I12" s="528">
        <v>13</v>
      </c>
      <c r="J12" s="528">
        <v>277</v>
      </c>
      <c r="K12" s="23">
        <f>I12+J12</f>
        <v>290</v>
      </c>
      <c r="L12" s="528">
        <v>105.33</v>
      </c>
      <c r="M12" s="82">
        <f>I12+L12</f>
        <v>118.33</v>
      </c>
      <c r="N12" s="528">
        <v>26</v>
      </c>
      <c r="O12" s="528">
        <v>170.67</v>
      </c>
      <c r="P12" s="133">
        <f t="shared" si="17"/>
        <v>0.69332630222065983</v>
      </c>
      <c r="Q12" s="528">
        <v>119</v>
      </c>
      <c r="R12" s="528">
        <v>128</v>
      </c>
      <c r="S12" s="84">
        <v>3369580</v>
      </c>
      <c r="T12" s="24">
        <f t="shared" si="21"/>
        <v>3426981</v>
      </c>
      <c r="U12" s="84">
        <v>3163444</v>
      </c>
      <c r="V12" s="84">
        <v>263537</v>
      </c>
      <c r="W12" s="135">
        <f t="shared" si="18"/>
        <v>7.6900630613359111E-2</v>
      </c>
    </row>
    <row r="13" spans="1:220">
      <c r="A13" s="15">
        <v>2012</v>
      </c>
      <c r="B13" s="528">
        <v>17</v>
      </c>
      <c r="C13" s="528">
        <v>4.5</v>
      </c>
      <c r="D13" s="23">
        <f>B13+C13</f>
        <v>21.5</v>
      </c>
      <c r="E13" s="82">
        <f t="shared" si="19"/>
        <v>13</v>
      </c>
      <c r="F13" s="82">
        <f t="shared" si="20"/>
        <v>10</v>
      </c>
      <c r="G13" s="85"/>
      <c r="H13" s="85"/>
      <c r="I13" s="528">
        <v>85</v>
      </c>
      <c r="J13" s="528">
        <v>219</v>
      </c>
      <c r="K13" s="23">
        <f>I13+J13</f>
        <v>304</v>
      </c>
      <c r="L13" s="528">
        <v>119.99</v>
      </c>
      <c r="M13" s="82">
        <f>I13+L13</f>
        <v>204.99</v>
      </c>
      <c r="N13" s="528">
        <v>40</v>
      </c>
      <c r="O13" s="528">
        <v>224.64000000000004</v>
      </c>
      <c r="P13" s="133">
        <f t="shared" si="17"/>
        <v>0.91252670940170921</v>
      </c>
      <c r="Q13" s="528">
        <v>157</v>
      </c>
      <c r="R13" s="528">
        <v>14</v>
      </c>
      <c r="S13" s="84">
        <v>6090716</v>
      </c>
      <c r="T13" s="24">
        <f t="shared" si="21"/>
        <v>3188294</v>
      </c>
      <c r="U13" s="84">
        <v>2792225</v>
      </c>
      <c r="V13" s="84">
        <v>396069</v>
      </c>
      <c r="W13" s="135">
        <f t="shared" si="18"/>
        <v>0.12422599672426696</v>
      </c>
    </row>
    <row r="14" spans="1:220">
      <c r="A14" s="15">
        <v>2011</v>
      </c>
      <c r="B14" s="528">
        <v>19</v>
      </c>
      <c r="C14" s="528">
        <v>5.5</v>
      </c>
      <c r="D14" s="23">
        <f t="shared" ref="D14:D23" si="22">SUM(B14:C14)</f>
        <v>24.5</v>
      </c>
      <c r="E14" s="82">
        <f t="shared" si="19"/>
        <v>15</v>
      </c>
      <c r="F14" s="82">
        <f t="shared" si="20"/>
        <v>12</v>
      </c>
      <c r="G14" s="85"/>
      <c r="H14" s="85"/>
      <c r="I14" s="528">
        <v>93</v>
      </c>
      <c r="J14" s="528">
        <v>260</v>
      </c>
      <c r="K14" s="23">
        <f t="shared" ref="K14:K23" si="23">SUM(I14:J14)</f>
        <v>353</v>
      </c>
      <c r="L14" s="528">
        <v>144.22</v>
      </c>
      <c r="M14" s="82">
        <f t="shared" ref="M14:M23" si="24">(I14+L14)</f>
        <v>237.22</v>
      </c>
      <c r="N14" s="528">
        <v>42</v>
      </c>
      <c r="O14" s="528">
        <v>286.78000000000003</v>
      </c>
      <c r="P14" s="133">
        <f t="shared" si="17"/>
        <v>0.82718460143664119</v>
      </c>
      <c r="Q14" s="528">
        <v>161</v>
      </c>
      <c r="R14" s="528">
        <v>5</v>
      </c>
      <c r="S14" s="84">
        <v>2936939</v>
      </c>
      <c r="T14" s="24">
        <f t="shared" si="21"/>
        <v>2943488</v>
      </c>
      <c r="U14" s="84">
        <v>2360517</v>
      </c>
      <c r="V14" s="84">
        <v>582971</v>
      </c>
      <c r="W14" s="135">
        <f t="shared" si="18"/>
        <v>0.19805448501913375</v>
      </c>
    </row>
    <row r="15" spans="1:220">
      <c r="A15" s="15">
        <v>2010</v>
      </c>
      <c r="B15" s="528">
        <v>16</v>
      </c>
      <c r="C15" s="528">
        <v>5.5</v>
      </c>
      <c r="D15" s="23">
        <f t="shared" si="22"/>
        <v>21.5</v>
      </c>
      <c r="E15" s="82">
        <f t="shared" si="19"/>
        <v>20</v>
      </c>
      <c r="F15" s="82">
        <f t="shared" si="20"/>
        <v>15</v>
      </c>
      <c r="G15" s="85"/>
      <c r="H15" s="85"/>
      <c r="I15" s="528">
        <v>136</v>
      </c>
      <c r="J15" s="528">
        <v>280</v>
      </c>
      <c r="K15" s="23">
        <f t="shared" si="23"/>
        <v>416</v>
      </c>
      <c r="L15" s="528">
        <v>149.66999999999999</v>
      </c>
      <c r="M15" s="82">
        <f t="shared" si="24"/>
        <v>285.66999999999996</v>
      </c>
      <c r="N15" s="528">
        <v>50</v>
      </c>
      <c r="O15" s="528">
        <v>318.67</v>
      </c>
      <c r="P15" s="133">
        <f t="shared" si="17"/>
        <v>0.89644459785985486</v>
      </c>
      <c r="Q15" s="528">
        <v>148</v>
      </c>
      <c r="R15" s="528">
        <v>4</v>
      </c>
      <c r="S15" s="84">
        <v>2669212</v>
      </c>
      <c r="T15" s="24">
        <f t="shared" si="21"/>
        <v>3450850</v>
      </c>
      <c r="U15" s="84">
        <v>2390425</v>
      </c>
      <c r="V15" s="84">
        <v>1060425</v>
      </c>
      <c r="W15" s="135">
        <f t="shared" si="18"/>
        <v>0.30729385513714014</v>
      </c>
    </row>
    <row r="16" spans="1:220">
      <c r="A16" s="15">
        <v>2009</v>
      </c>
      <c r="B16" s="528">
        <v>14</v>
      </c>
      <c r="C16" s="528">
        <v>6</v>
      </c>
      <c r="D16" s="23">
        <f t="shared" si="22"/>
        <v>20</v>
      </c>
      <c r="E16" s="82">
        <f t="shared" si="19"/>
        <v>21</v>
      </c>
      <c r="F16" s="82">
        <f t="shared" si="20"/>
        <v>15</v>
      </c>
      <c r="G16" s="85"/>
      <c r="H16" s="85"/>
      <c r="I16" s="528">
        <v>109</v>
      </c>
      <c r="J16" s="528">
        <v>298</v>
      </c>
      <c r="K16" s="23">
        <f t="shared" si="23"/>
        <v>407</v>
      </c>
      <c r="L16" s="528">
        <v>159.56</v>
      </c>
      <c r="M16" s="82">
        <f t="shared" si="24"/>
        <v>268.56</v>
      </c>
      <c r="N16" s="528">
        <v>48</v>
      </c>
      <c r="O16" s="528">
        <v>293.56</v>
      </c>
      <c r="P16" s="133">
        <f t="shared" si="17"/>
        <v>0.91483853386019898</v>
      </c>
      <c r="Q16" s="528">
        <v>143</v>
      </c>
      <c r="R16" s="528">
        <v>3</v>
      </c>
      <c r="S16" s="84">
        <v>2767099</v>
      </c>
      <c r="T16" s="24">
        <f t="shared" si="21"/>
        <v>2893934</v>
      </c>
      <c r="U16" s="84">
        <v>2685210</v>
      </c>
      <c r="V16" s="84">
        <v>208724</v>
      </c>
      <c r="W16" s="135">
        <f t="shared" si="18"/>
        <v>7.2124657991509133E-2</v>
      </c>
    </row>
    <row r="17" spans="1:23">
      <c r="A17" s="15">
        <v>2008</v>
      </c>
      <c r="B17" s="528">
        <v>15</v>
      </c>
      <c r="C17" s="528">
        <v>5</v>
      </c>
      <c r="D17" s="23">
        <f t="shared" si="22"/>
        <v>20</v>
      </c>
      <c r="E17" s="82">
        <f t="shared" si="19"/>
        <v>19</v>
      </c>
      <c r="F17" s="82">
        <f t="shared" si="20"/>
        <v>14</v>
      </c>
      <c r="G17" s="85"/>
      <c r="H17" s="85"/>
      <c r="I17" s="528">
        <v>105</v>
      </c>
      <c r="J17" s="528">
        <v>305</v>
      </c>
      <c r="K17" s="23">
        <f t="shared" si="23"/>
        <v>410</v>
      </c>
      <c r="L17" s="528">
        <v>169.33</v>
      </c>
      <c r="M17" s="82">
        <f t="shared" si="24"/>
        <v>274.33000000000004</v>
      </c>
      <c r="N17" s="528">
        <v>44</v>
      </c>
      <c r="O17" s="528">
        <v>289</v>
      </c>
      <c r="P17" s="133">
        <f t="shared" si="17"/>
        <v>0.94923875432525961</v>
      </c>
      <c r="Q17" s="528">
        <v>179</v>
      </c>
      <c r="R17" s="528">
        <v>27</v>
      </c>
      <c r="S17" s="84">
        <v>2454526</v>
      </c>
      <c r="T17" s="24">
        <f t="shared" si="21"/>
        <v>4193501</v>
      </c>
      <c r="U17" s="84">
        <v>173391</v>
      </c>
      <c r="V17" s="84">
        <v>4020110</v>
      </c>
      <c r="W17" s="135">
        <f t="shared" si="18"/>
        <v>0.95865244815727957</v>
      </c>
    </row>
    <row r="18" spans="1:23">
      <c r="A18" s="15">
        <v>2007</v>
      </c>
      <c r="B18" s="528">
        <v>15</v>
      </c>
      <c r="C18" s="528">
        <v>6</v>
      </c>
      <c r="D18" s="23">
        <f t="shared" si="22"/>
        <v>21</v>
      </c>
      <c r="E18" s="82">
        <f t="shared" si="19"/>
        <v>20</v>
      </c>
      <c r="F18" s="82">
        <f t="shared" si="20"/>
        <v>14</v>
      </c>
      <c r="G18" s="85"/>
      <c r="H18" s="85"/>
      <c r="I18" s="528">
        <v>107</v>
      </c>
      <c r="J18" s="528">
        <v>335</v>
      </c>
      <c r="K18" s="23">
        <f t="shared" si="23"/>
        <v>442</v>
      </c>
      <c r="L18" s="528">
        <v>181.29</v>
      </c>
      <c r="M18" s="82">
        <f t="shared" si="24"/>
        <v>288.28999999999996</v>
      </c>
      <c r="N18" s="528">
        <v>34</v>
      </c>
      <c r="O18" s="528">
        <v>301</v>
      </c>
      <c r="P18" s="133">
        <f t="shared" si="17"/>
        <v>0.9577740863787374</v>
      </c>
      <c r="Q18" s="528">
        <v>158</v>
      </c>
      <c r="R18" s="528">
        <v>10</v>
      </c>
      <c r="S18" s="179">
        <v>2300600</v>
      </c>
      <c r="T18" s="24">
        <f t="shared" si="21"/>
        <v>2858412</v>
      </c>
      <c r="U18" s="179">
        <v>143391</v>
      </c>
      <c r="V18" s="179">
        <v>2715021</v>
      </c>
      <c r="W18" s="135">
        <f t="shared" si="18"/>
        <v>0.94983543310061669</v>
      </c>
    </row>
    <row r="19" spans="1:23">
      <c r="A19" s="15">
        <v>2006</v>
      </c>
      <c r="B19" s="528">
        <v>14</v>
      </c>
      <c r="C19" s="528">
        <v>3.5</v>
      </c>
      <c r="D19" s="23">
        <f t="shared" si="22"/>
        <v>17.5</v>
      </c>
      <c r="E19" s="82">
        <f t="shared" si="19"/>
        <v>20</v>
      </c>
      <c r="F19" s="82">
        <f t="shared" si="20"/>
        <v>16</v>
      </c>
      <c r="G19" s="85"/>
      <c r="H19" s="85"/>
      <c r="I19" s="528">
        <v>123</v>
      </c>
      <c r="J19" s="528">
        <v>279</v>
      </c>
      <c r="K19" s="23">
        <f t="shared" si="23"/>
        <v>402</v>
      </c>
      <c r="L19" s="528">
        <v>154</v>
      </c>
      <c r="M19" s="82">
        <f t="shared" si="24"/>
        <v>277</v>
      </c>
      <c r="N19" s="528">
        <v>36</v>
      </c>
      <c r="O19" s="528">
        <v>281</v>
      </c>
      <c r="P19" s="133">
        <f t="shared" si="17"/>
        <v>0.98576512455516019</v>
      </c>
      <c r="Q19" s="528">
        <v>208</v>
      </c>
      <c r="R19" s="528">
        <v>15</v>
      </c>
      <c r="S19" s="132">
        <v>2597527</v>
      </c>
      <c r="T19" s="24">
        <f t="shared" si="21"/>
        <v>2396966</v>
      </c>
      <c r="U19" s="132">
        <v>2013724</v>
      </c>
      <c r="V19" s="132">
        <v>383242</v>
      </c>
      <c r="W19" s="135">
        <f t="shared" si="18"/>
        <v>0.15988628958441631</v>
      </c>
    </row>
    <row r="20" spans="1:23">
      <c r="A20" s="15">
        <v>2005</v>
      </c>
      <c r="B20" s="528">
        <v>14</v>
      </c>
      <c r="C20" s="528">
        <v>4</v>
      </c>
      <c r="D20" s="23">
        <f t="shared" si="22"/>
        <v>18</v>
      </c>
      <c r="E20" s="82">
        <f t="shared" si="19"/>
        <v>21</v>
      </c>
      <c r="F20" s="82">
        <f t="shared" si="20"/>
        <v>16</v>
      </c>
      <c r="G20" s="85"/>
      <c r="H20" s="85"/>
      <c r="I20" s="528">
        <v>109</v>
      </c>
      <c r="J20" s="528">
        <v>342</v>
      </c>
      <c r="K20" s="23">
        <f t="shared" si="23"/>
        <v>451</v>
      </c>
      <c r="L20" s="528">
        <v>172</v>
      </c>
      <c r="M20" s="82">
        <f t="shared" si="24"/>
        <v>281</v>
      </c>
      <c r="N20" s="528">
        <v>34</v>
      </c>
      <c r="O20" s="528">
        <v>292</v>
      </c>
      <c r="P20" s="133">
        <f t="shared" si="17"/>
        <v>0.96232876712328763</v>
      </c>
      <c r="Q20" s="528">
        <v>139</v>
      </c>
      <c r="R20" s="528">
        <v>5</v>
      </c>
      <c r="S20" s="132">
        <v>2012944</v>
      </c>
      <c r="T20" s="24">
        <f t="shared" si="21"/>
        <v>2551464</v>
      </c>
      <c r="U20" s="132">
        <v>1711416</v>
      </c>
      <c r="V20" s="132">
        <v>840048</v>
      </c>
      <c r="W20" s="135">
        <f t="shared" si="18"/>
        <v>0.32924156484277262</v>
      </c>
    </row>
    <row r="21" spans="1:23">
      <c r="A21" s="15">
        <v>2004</v>
      </c>
      <c r="B21" s="528">
        <v>14</v>
      </c>
      <c r="C21" s="528">
        <v>4.5</v>
      </c>
      <c r="D21" s="23">
        <f t="shared" si="22"/>
        <v>18.5</v>
      </c>
      <c r="E21" s="82">
        <f t="shared" si="19"/>
        <v>18</v>
      </c>
      <c r="F21" s="82">
        <f t="shared" si="20"/>
        <v>14</v>
      </c>
      <c r="G21" s="85"/>
      <c r="H21" s="85"/>
      <c r="I21" s="528">
        <v>94</v>
      </c>
      <c r="J21" s="528">
        <v>307</v>
      </c>
      <c r="K21" s="23">
        <f t="shared" si="23"/>
        <v>401</v>
      </c>
      <c r="L21" s="528">
        <v>149</v>
      </c>
      <c r="M21" s="82">
        <f t="shared" si="24"/>
        <v>243</v>
      </c>
      <c r="N21" s="528">
        <v>31</v>
      </c>
      <c r="O21" s="528">
        <v>251</v>
      </c>
      <c r="P21" s="133">
        <f t="shared" si="17"/>
        <v>0.96812749003984067</v>
      </c>
      <c r="Q21" s="528">
        <v>169</v>
      </c>
      <c r="R21" s="528">
        <v>10</v>
      </c>
      <c r="S21" s="132">
        <v>1529117</v>
      </c>
      <c r="T21" s="24">
        <f t="shared" si="21"/>
        <v>2467710</v>
      </c>
      <c r="U21" s="132">
        <v>1653445</v>
      </c>
      <c r="V21" s="132">
        <v>814265</v>
      </c>
      <c r="W21" s="135">
        <f t="shared" si="18"/>
        <v>0.32996786494361169</v>
      </c>
    </row>
    <row r="22" spans="1:23">
      <c r="A22" s="15">
        <v>2003</v>
      </c>
      <c r="B22" s="528">
        <v>9</v>
      </c>
      <c r="C22" s="528">
        <v>3</v>
      </c>
      <c r="D22" s="23">
        <f t="shared" si="22"/>
        <v>12</v>
      </c>
      <c r="E22" s="82">
        <f t="shared" si="19"/>
        <v>28</v>
      </c>
      <c r="F22" s="82">
        <f t="shared" si="20"/>
        <v>21</v>
      </c>
      <c r="G22" s="85"/>
      <c r="H22" s="85"/>
      <c r="I22" s="528">
        <v>75</v>
      </c>
      <c r="J22" s="528">
        <v>345</v>
      </c>
      <c r="K22" s="23">
        <f t="shared" si="23"/>
        <v>420</v>
      </c>
      <c r="L22" s="528">
        <v>156</v>
      </c>
      <c r="M22" s="82">
        <f t="shared" si="24"/>
        <v>231</v>
      </c>
      <c r="N22" s="528">
        <v>28</v>
      </c>
      <c r="O22" s="528">
        <v>250</v>
      </c>
      <c r="P22" s="133">
        <f t="shared" si="17"/>
        <v>0.92400000000000004</v>
      </c>
      <c r="Q22" s="528">
        <v>152</v>
      </c>
      <c r="R22" s="528">
        <v>10</v>
      </c>
      <c r="S22" s="132">
        <v>1725678</v>
      </c>
      <c r="T22" s="24">
        <f t="shared" si="21"/>
        <v>1676206</v>
      </c>
      <c r="U22" s="132">
        <v>1363444</v>
      </c>
      <c r="V22" s="132">
        <v>312762</v>
      </c>
      <c r="W22" s="135">
        <f t="shared" si="18"/>
        <v>0.18658923783830866</v>
      </c>
    </row>
    <row r="23" spans="1:23">
      <c r="A23" s="15">
        <v>2002</v>
      </c>
      <c r="B23" s="528">
        <v>11</v>
      </c>
      <c r="C23" s="528">
        <v>2</v>
      </c>
      <c r="D23" s="23">
        <f t="shared" si="22"/>
        <v>13</v>
      </c>
      <c r="E23" s="82">
        <f t="shared" si="19"/>
        <v>22</v>
      </c>
      <c r="F23" s="82">
        <f t="shared" si="20"/>
        <v>19</v>
      </c>
      <c r="G23" s="85"/>
      <c r="H23" s="85"/>
      <c r="I23" s="528">
        <v>89</v>
      </c>
      <c r="J23" s="528">
        <v>297</v>
      </c>
      <c r="K23" s="23">
        <f t="shared" si="23"/>
        <v>386</v>
      </c>
      <c r="L23" s="528">
        <f>ROUND(143.7, 0)</f>
        <v>144</v>
      </c>
      <c r="M23" s="82">
        <f t="shared" si="24"/>
        <v>233</v>
      </c>
      <c r="N23" s="528">
        <v>27</v>
      </c>
      <c r="O23" s="528">
        <f>ROUND(244.3, 0)</f>
        <v>244</v>
      </c>
      <c r="P23" s="133">
        <f t="shared" si="17"/>
        <v>0.95491803278688525</v>
      </c>
      <c r="Q23" s="528">
        <v>152</v>
      </c>
      <c r="R23" s="528">
        <v>7</v>
      </c>
      <c r="S23" s="132">
        <v>1939059</v>
      </c>
      <c r="T23" s="24">
        <f t="shared" si="21"/>
        <v>1968267</v>
      </c>
      <c r="U23" s="132">
        <v>1441854</v>
      </c>
      <c r="V23" s="132">
        <v>526413</v>
      </c>
      <c r="W23" s="135">
        <f t="shared" si="18"/>
        <v>0.26744999535124048</v>
      </c>
    </row>
    <row r="24" spans="1:23" s="12" customFormat="1"/>
    <row r="25" spans="1:23" s="12" customFormat="1"/>
    <row r="26" spans="1:23" s="12" customFormat="1"/>
    <row r="27" spans="1:23" s="12" customFormat="1"/>
    <row r="28" spans="1:23" s="12" customFormat="1"/>
    <row r="29" spans="1:23" s="12" customFormat="1"/>
    <row r="30" spans="1:23" s="12" customFormat="1"/>
    <row r="31" spans="1:23" s="12" customFormat="1"/>
    <row r="32" spans="1:23" s="12" customFormat="1"/>
    <row r="33" s="12" customFormat="1"/>
    <row r="34" s="12" customFormat="1"/>
  </sheetData>
  <printOptions headings="1" gridLines="1"/>
  <pageMargins left="0.5" right="0.5" top="0.5" bottom="0.5" header="0" footer="0"/>
  <pageSetup paperSize="5" scale="65" orientation="landscape"/>
  <legacyDrawing r:id="rId1"/>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HL31"/>
  <sheetViews>
    <sheetView workbookViewId="0">
      <selection activeCell="C37" sqref="C37"/>
    </sheetView>
  </sheetViews>
  <sheetFormatPr defaultColWidth="8.85546875" defaultRowHeight="15"/>
  <cols>
    <col min="1" max="1" width="10.285156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2.28515625" bestFit="1" customWidth="1"/>
    <col min="20" max="20" width="12.85546875" bestFit="1" customWidth="1"/>
    <col min="21" max="21" width="10.42578125" bestFit="1" customWidth="1"/>
    <col min="22" max="22" width="10.85546875" bestFit="1" customWidth="1"/>
    <col min="23" max="23" width="12.85546875" bestFit="1" customWidth="1"/>
  </cols>
  <sheetData>
    <row r="1" spans="1:220" s="7" customFormat="1" ht="18.75">
      <c r="A1" s="1" t="s">
        <v>189</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c r="A3" s="105">
        <v>2022</v>
      </c>
      <c r="B3" s="66">
        <v>21</v>
      </c>
      <c r="C3" s="66">
        <v>3.24</v>
      </c>
      <c r="D3" s="23">
        <f t="shared" ref="D3" si="0">SUM(B3:C3)</f>
        <v>24.240000000000002</v>
      </c>
      <c r="E3" s="82">
        <f t="shared" ref="E3" si="1">ROUND((O3/B3), 0)</f>
        <v>32</v>
      </c>
      <c r="F3" s="82">
        <f t="shared" ref="F3" si="2">ROUND((O3/D3), 0)</f>
        <v>28</v>
      </c>
      <c r="G3" s="66">
        <v>9</v>
      </c>
      <c r="H3" s="66">
        <v>1.44</v>
      </c>
      <c r="I3" s="66">
        <v>106</v>
      </c>
      <c r="J3" s="66">
        <v>206</v>
      </c>
      <c r="K3" s="23">
        <v>312</v>
      </c>
      <c r="L3" s="66">
        <v>74.16</v>
      </c>
      <c r="M3" s="82">
        <f t="shared" ref="M3" si="3">(I3+L3)</f>
        <v>180.16</v>
      </c>
      <c r="N3" s="530">
        <v>94</v>
      </c>
      <c r="O3" s="131">
        <v>669</v>
      </c>
      <c r="P3" s="133">
        <f t="shared" ref="P3" si="4">M3/O3</f>
        <v>0.26929745889387147</v>
      </c>
      <c r="Q3" s="17">
        <v>129</v>
      </c>
      <c r="R3" s="17">
        <v>143</v>
      </c>
      <c r="S3" s="358">
        <v>2297102</v>
      </c>
      <c r="T3" s="24">
        <f t="shared" ref="T3" si="5">SUM(U3:V3)</f>
        <v>2697627</v>
      </c>
      <c r="U3" s="304">
        <v>2504047</v>
      </c>
      <c r="V3" s="358">
        <v>193580</v>
      </c>
      <c r="W3" s="135">
        <f t="shared" ref="W3" si="6">V3/T3</f>
        <v>7.1759364804696871E-2</v>
      </c>
    </row>
    <row r="4" spans="1:220">
      <c r="A4" s="105">
        <v>2021</v>
      </c>
      <c r="B4" s="66">
        <v>19</v>
      </c>
      <c r="C4" s="66">
        <v>3.38</v>
      </c>
      <c r="D4" s="23">
        <f>SUM(B4:C4)</f>
        <v>22.38</v>
      </c>
      <c r="E4" s="82">
        <f t="shared" ref="E4" si="7">ROUND((O4/B4), 0)</f>
        <v>34</v>
      </c>
      <c r="F4" s="82">
        <f t="shared" ref="F4" si="8">ROUND((O4/D4), 0)</f>
        <v>29</v>
      </c>
      <c r="G4" s="66">
        <v>13</v>
      </c>
      <c r="H4" s="66">
        <v>0.9</v>
      </c>
      <c r="I4" s="66">
        <v>129</v>
      </c>
      <c r="J4" s="66">
        <v>176</v>
      </c>
      <c r="K4" s="23">
        <f t="shared" ref="K4" si="9">SUM(I4:J4)</f>
        <v>305</v>
      </c>
      <c r="L4" s="66">
        <v>63.36</v>
      </c>
      <c r="M4" s="82">
        <f>(I4+L4)</f>
        <v>192.36</v>
      </c>
      <c r="N4" s="530">
        <v>65</v>
      </c>
      <c r="O4" s="131">
        <v>653.4</v>
      </c>
      <c r="P4" s="133">
        <f t="shared" ref="P4" si="10">M4/O4</f>
        <v>0.29439853076216715</v>
      </c>
      <c r="Q4" s="17">
        <v>98</v>
      </c>
      <c r="R4" s="17">
        <v>90</v>
      </c>
      <c r="S4" s="358">
        <v>2303262.0099999998</v>
      </c>
      <c r="T4" s="24">
        <f t="shared" ref="T4" si="11">SUM(U4:V4)</f>
        <v>2652139</v>
      </c>
      <c r="U4" s="304">
        <v>2652139</v>
      </c>
      <c r="V4" s="358">
        <v>0</v>
      </c>
      <c r="W4" s="135">
        <f t="shared" ref="W4" si="12">V4/T4</f>
        <v>0</v>
      </c>
    </row>
    <row r="5" spans="1:220">
      <c r="A5" s="105">
        <v>2020</v>
      </c>
      <c r="B5" s="66">
        <v>19</v>
      </c>
      <c r="C5" s="66">
        <v>3.02</v>
      </c>
      <c r="D5" s="23">
        <f>SUM(B5:C5)</f>
        <v>22.02</v>
      </c>
      <c r="E5" s="82">
        <f>ROUND((O5/B5), 0)</f>
        <v>22</v>
      </c>
      <c r="F5" s="82">
        <f>ROUND((O5/D5), 0)</f>
        <v>19</v>
      </c>
      <c r="G5" s="66">
        <v>12</v>
      </c>
      <c r="H5" s="66">
        <v>0.9</v>
      </c>
      <c r="I5" s="66">
        <v>133</v>
      </c>
      <c r="J5" s="66">
        <v>160</v>
      </c>
      <c r="K5" s="23">
        <f t="shared" ref="K5" si="13">SUM(I5:J5)</f>
        <v>293</v>
      </c>
      <c r="L5" s="66">
        <v>57.6</v>
      </c>
      <c r="M5" s="82">
        <f>(I5+L5)</f>
        <v>190.6</v>
      </c>
      <c r="N5" s="530">
        <v>71</v>
      </c>
      <c r="O5" s="131">
        <v>420.92</v>
      </c>
      <c r="P5" s="133">
        <f t="shared" ref="P5" si="14">M5/O5</f>
        <v>0.45281763755583004</v>
      </c>
      <c r="Q5" s="17">
        <v>82</v>
      </c>
      <c r="R5" s="17">
        <v>86</v>
      </c>
      <c r="S5" s="358">
        <v>2525185.21</v>
      </c>
      <c r="T5" s="24">
        <v>2534976.2200000002</v>
      </c>
      <c r="U5" s="304">
        <v>2409019</v>
      </c>
      <c r="V5" s="358">
        <v>125957.22</v>
      </c>
      <c r="W5" s="135">
        <f t="shared" ref="W5" si="15">V5/T5</f>
        <v>4.9687732376440197E-2</v>
      </c>
    </row>
    <row r="6" spans="1:220">
      <c r="A6" s="105">
        <v>2019</v>
      </c>
      <c r="B6" s="66">
        <v>21</v>
      </c>
      <c r="C6" s="66">
        <v>2.16</v>
      </c>
      <c r="D6" s="23">
        <f>SUM(B6:C6)</f>
        <v>23.16</v>
      </c>
      <c r="E6" s="82">
        <f>ROUND((O6/B6), 0)</f>
        <v>21</v>
      </c>
      <c r="F6" s="82">
        <f>ROUND((O6/D6), 0)</f>
        <v>19</v>
      </c>
      <c r="G6" s="66">
        <v>9</v>
      </c>
      <c r="H6" s="66">
        <v>0.54</v>
      </c>
      <c r="I6" s="66">
        <v>79</v>
      </c>
      <c r="J6" s="66">
        <v>198</v>
      </c>
      <c r="K6" s="23">
        <f t="shared" ref="K6" si="16">SUM(I6:J6)</f>
        <v>277</v>
      </c>
      <c r="L6" s="66">
        <v>71.28</v>
      </c>
      <c r="M6" s="82">
        <f>(I6+L6)</f>
        <v>150.28</v>
      </c>
      <c r="N6" s="66">
        <v>77</v>
      </c>
      <c r="O6" s="131">
        <v>448.88</v>
      </c>
      <c r="P6" s="133">
        <f t="shared" ref="P6" si="17">M6/O6</f>
        <v>0.33478880769916236</v>
      </c>
      <c r="Q6" s="17">
        <v>94</v>
      </c>
      <c r="R6" s="17">
        <v>73</v>
      </c>
      <c r="S6" s="359">
        <v>2388210</v>
      </c>
      <c r="T6" s="24">
        <v>2388210</v>
      </c>
      <c r="U6" s="304">
        <v>2343205</v>
      </c>
      <c r="V6" s="304">
        <v>131692.82999999999</v>
      </c>
      <c r="W6" s="135">
        <f t="shared" ref="W6" si="18">V6/T6</f>
        <v>5.5142902006104985E-2</v>
      </c>
    </row>
    <row r="7" spans="1:220" s="14" customFormat="1">
      <c r="A7" s="10">
        <v>2018</v>
      </c>
      <c r="B7" s="17">
        <v>23</v>
      </c>
      <c r="C7" s="17">
        <v>1.98</v>
      </c>
      <c r="D7" s="23">
        <f>SUM(B7:C7)</f>
        <v>24.98</v>
      </c>
      <c r="E7" s="82">
        <f>ROUND((O7/B7), 0)</f>
        <v>149</v>
      </c>
      <c r="F7" s="82">
        <f>ROUND((O7/D7), 0)</f>
        <v>137</v>
      </c>
      <c r="G7" s="17">
        <v>10</v>
      </c>
      <c r="H7" s="17">
        <v>0.36</v>
      </c>
      <c r="I7" s="17">
        <v>81</v>
      </c>
      <c r="J7" s="17">
        <v>144</v>
      </c>
      <c r="K7" s="23">
        <f t="shared" ref="K7" si="19">SUM(I7:J7)</f>
        <v>225</v>
      </c>
      <c r="L7" s="17">
        <v>51.84</v>
      </c>
      <c r="M7" s="82">
        <f>(I7+L7)</f>
        <v>132.84</v>
      </c>
      <c r="N7" s="17">
        <v>60</v>
      </c>
      <c r="O7" s="17">
        <v>3434</v>
      </c>
      <c r="P7" s="133">
        <f>M7/O7</f>
        <v>3.8683750728013978E-2</v>
      </c>
      <c r="Q7" s="17">
        <v>86</v>
      </c>
      <c r="R7" s="17">
        <v>842</v>
      </c>
      <c r="S7" s="20">
        <v>2639226</v>
      </c>
      <c r="T7" s="24">
        <f>SUM(U7:V7)</f>
        <v>2756675</v>
      </c>
      <c r="U7" s="20">
        <v>2594461</v>
      </c>
      <c r="V7" s="20">
        <v>162214</v>
      </c>
      <c r="W7" s="135">
        <f>V7/T7</f>
        <v>5.8844078464091704E-2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24</v>
      </c>
      <c r="C8" s="17">
        <v>4</v>
      </c>
      <c r="D8" s="27">
        <f>SUM(B8:C8)</f>
        <v>28</v>
      </c>
      <c r="E8" s="27">
        <f>ROUND((O8/B8), 0)</f>
        <v>141</v>
      </c>
      <c r="F8" s="27">
        <f>ROUND((O8/D8), 0)</f>
        <v>121</v>
      </c>
      <c r="G8" s="17">
        <v>13</v>
      </c>
      <c r="H8" s="17">
        <v>0.36</v>
      </c>
      <c r="I8" s="17">
        <v>86</v>
      </c>
      <c r="J8" s="17">
        <v>148</v>
      </c>
      <c r="K8" s="27">
        <f>SUM(I8:J8)</f>
        <v>234</v>
      </c>
      <c r="L8" s="17">
        <v>86.58</v>
      </c>
      <c r="M8" s="29">
        <f>(I8+L8)</f>
        <v>172.57999999999998</v>
      </c>
      <c r="N8" s="255">
        <v>70</v>
      </c>
      <c r="O8" s="255">
        <v>3384.93</v>
      </c>
      <c r="P8" s="133">
        <f t="shared" ref="P8:P23" si="20">M8/O8</f>
        <v>5.0984806185061432E-2</v>
      </c>
      <c r="Q8" s="17">
        <v>81</v>
      </c>
      <c r="R8" s="17">
        <v>829</v>
      </c>
      <c r="S8" s="223">
        <v>2055000</v>
      </c>
      <c r="T8" s="28">
        <f>SUM(U8:V8)</f>
        <v>2467956</v>
      </c>
      <c r="U8" s="252">
        <v>2305742</v>
      </c>
      <c r="V8" s="20">
        <v>162214</v>
      </c>
      <c r="W8" s="135">
        <f t="shared" ref="W8:W23" si="21">V8/T8</f>
        <v>6.5728076189364798E-2</v>
      </c>
    </row>
    <row r="9" spans="1:220" s="9" customFormat="1">
      <c r="A9" s="10">
        <v>2016</v>
      </c>
      <c r="B9" s="54">
        <v>22</v>
      </c>
      <c r="C9" s="54">
        <v>1.44</v>
      </c>
      <c r="D9" s="23">
        <f>B9+C9</f>
        <v>23.44</v>
      </c>
      <c r="E9" s="82">
        <f>ROUND((O9/B9), 0)</f>
        <v>116</v>
      </c>
      <c r="F9" s="82">
        <f>ROUND((O9/D9), 0)</f>
        <v>109</v>
      </c>
      <c r="G9" s="54">
        <v>11</v>
      </c>
      <c r="H9" s="54">
        <v>0.54</v>
      </c>
      <c r="I9" s="54">
        <v>97</v>
      </c>
      <c r="J9" s="54">
        <v>140</v>
      </c>
      <c r="K9" s="23">
        <f>I9+J9</f>
        <v>237</v>
      </c>
      <c r="L9" s="54">
        <v>78</v>
      </c>
      <c r="M9" s="82">
        <f>I9+L9</f>
        <v>175</v>
      </c>
      <c r="N9" s="54">
        <v>45</v>
      </c>
      <c r="O9" s="54">
        <v>2560</v>
      </c>
      <c r="P9" s="133">
        <f t="shared" si="20"/>
        <v>6.8359375E-2</v>
      </c>
      <c r="Q9" s="54">
        <v>57</v>
      </c>
      <c r="R9" s="54">
        <v>32</v>
      </c>
      <c r="S9" s="55">
        <v>2045000</v>
      </c>
      <c r="T9" s="24">
        <f>SUM(U9:V9)</f>
        <v>2519669</v>
      </c>
      <c r="U9" s="55">
        <v>2034761</v>
      </c>
      <c r="V9" s="55">
        <v>484908</v>
      </c>
      <c r="W9" s="135">
        <f t="shared" si="21"/>
        <v>0.192449087558723</v>
      </c>
    </row>
    <row r="10" spans="1:220" s="77" customFormat="1">
      <c r="A10" s="10">
        <v>2015</v>
      </c>
      <c r="B10" s="70">
        <v>17</v>
      </c>
      <c r="C10" s="70">
        <v>0.72</v>
      </c>
      <c r="D10" s="65">
        <v>17.72</v>
      </c>
      <c r="E10" s="65">
        <v>10.199999999999999</v>
      </c>
      <c r="F10" s="65">
        <v>9.8000000000000007</v>
      </c>
      <c r="G10" s="83"/>
      <c r="H10" s="83"/>
      <c r="I10" s="70">
        <v>58</v>
      </c>
      <c r="J10" s="70">
        <v>120</v>
      </c>
      <c r="K10" s="65">
        <v>178</v>
      </c>
      <c r="L10" s="70">
        <v>64</v>
      </c>
      <c r="M10" s="65">
        <v>124</v>
      </c>
      <c r="N10" s="70">
        <v>40</v>
      </c>
      <c r="O10" s="70">
        <v>173.33</v>
      </c>
      <c r="P10" s="133">
        <f t="shared" si="20"/>
        <v>0.71539837304563547</v>
      </c>
      <c r="Q10" s="70">
        <v>86</v>
      </c>
      <c r="R10" s="70">
        <v>31</v>
      </c>
      <c r="S10" s="78">
        <v>2053468</v>
      </c>
      <c r="T10" s="79">
        <v>2371990</v>
      </c>
      <c r="U10" s="78">
        <v>2051696</v>
      </c>
      <c r="V10" s="78">
        <v>320294</v>
      </c>
      <c r="W10" s="135">
        <f t="shared" si="21"/>
        <v>0.13503176657574442</v>
      </c>
    </row>
    <row r="11" spans="1:220" s="16" customFormat="1">
      <c r="A11" s="57">
        <v>2014</v>
      </c>
      <c r="B11" s="70">
        <v>18</v>
      </c>
      <c r="C11" s="70">
        <v>1.08</v>
      </c>
      <c r="D11" s="65">
        <v>19.079999999999998</v>
      </c>
      <c r="E11" s="65">
        <v>13</v>
      </c>
      <c r="F11" s="65">
        <v>12</v>
      </c>
      <c r="G11" s="83"/>
      <c r="H11" s="83"/>
      <c r="I11" s="70">
        <v>63</v>
      </c>
      <c r="J11" s="70">
        <v>125</v>
      </c>
      <c r="K11" s="65">
        <v>188</v>
      </c>
      <c r="L11" s="70">
        <v>67</v>
      </c>
      <c r="M11" s="65">
        <v>130</v>
      </c>
      <c r="N11" s="70">
        <v>41</v>
      </c>
      <c r="O11" s="70">
        <v>228.75</v>
      </c>
      <c r="P11" s="133">
        <f t="shared" si="20"/>
        <v>0.56830601092896171</v>
      </c>
      <c r="Q11" s="70">
        <v>87</v>
      </c>
      <c r="R11" s="70">
        <v>34</v>
      </c>
      <c r="S11" s="78">
        <v>1854190</v>
      </c>
      <c r="T11" s="79">
        <v>1946289</v>
      </c>
      <c r="U11" s="78">
        <v>1946289</v>
      </c>
      <c r="V11" s="71">
        <v>109035</v>
      </c>
      <c r="W11" s="135">
        <f t="shared" si="21"/>
        <v>5.6021998788463583E-2</v>
      </c>
    </row>
    <row r="12" spans="1:220">
      <c r="A12" s="15">
        <v>2013</v>
      </c>
      <c r="B12" s="528">
        <v>18</v>
      </c>
      <c r="C12" s="528">
        <v>15</v>
      </c>
      <c r="D12" s="23">
        <f>B12+C12</f>
        <v>33</v>
      </c>
      <c r="E12" s="82">
        <f t="shared" ref="E12:E23" si="22">ROUND((O12/B12), 0)</f>
        <v>14</v>
      </c>
      <c r="F12" s="82">
        <f t="shared" ref="F12:F23" si="23">ROUND((O12/D12), 0)</f>
        <v>8</v>
      </c>
      <c r="G12" s="85"/>
      <c r="H12" s="85"/>
      <c r="I12" s="528">
        <v>66</v>
      </c>
      <c r="J12" s="528">
        <v>145</v>
      </c>
      <c r="K12" s="23">
        <f>I12+J12</f>
        <v>211</v>
      </c>
      <c r="L12" s="528">
        <v>79.62</v>
      </c>
      <c r="M12" s="82">
        <f>I12+L12</f>
        <v>145.62</v>
      </c>
      <c r="N12" s="528">
        <v>33</v>
      </c>
      <c r="O12" s="528">
        <v>259.95999999999998</v>
      </c>
      <c r="P12" s="133">
        <f t="shared" si="20"/>
        <v>0.56016310201569475</v>
      </c>
      <c r="Q12" s="528">
        <v>117</v>
      </c>
      <c r="R12" s="528">
        <v>26</v>
      </c>
      <c r="S12" s="84">
        <v>1904058</v>
      </c>
      <c r="T12" s="24">
        <f t="shared" ref="T12:T23" si="24">SUM(U12:V12)</f>
        <v>1799465</v>
      </c>
      <c r="U12" s="84">
        <v>1799465</v>
      </c>
      <c r="V12" s="84">
        <v>0</v>
      </c>
      <c r="W12" s="135">
        <f t="shared" si="21"/>
        <v>0</v>
      </c>
    </row>
    <row r="13" spans="1:220">
      <c r="A13" s="15">
        <v>2012</v>
      </c>
      <c r="B13" s="528">
        <v>15</v>
      </c>
      <c r="C13" s="528">
        <v>3</v>
      </c>
      <c r="D13" s="23">
        <f>B13+C13</f>
        <v>18</v>
      </c>
      <c r="E13" s="82">
        <f t="shared" si="22"/>
        <v>16</v>
      </c>
      <c r="F13" s="82">
        <f t="shared" si="23"/>
        <v>14</v>
      </c>
      <c r="G13" s="85"/>
      <c r="H13" s="85"/>
      <c r="I13" s="528">
        <v>87</v>
      </c>
      <c r="J13" s="528">
        <v>170</v>
      </c>
      <c r="K13" s="23">
        <f>I13+J13</f>
        <v>257</v>
      </c>
      <c r="L13" s="528">
        <v>159</v>
      </c>
      <c r="M13" s="82">
        <f>I13+L13</f>
        <v>246</v>
      </c>
      <c r="N13" s="528">
        <v>46</v>
      </c>
      <c r="O13" s="528">
        <v>246</v>
      </c>
      <c r="P13" s="133">
        <f t="shared" si="20"/>
        <v>1</v>
      </c>
      <c r="Q13" s="528">
        <v>134</v>
      </c>
      <c r="R13" s="528">
        <v>0</v>
      </c>
      <c r="S13" s="84">
        <v>1831231</v>
      </c>
      <c r="T13" s="24">
        <f t="shared" si="24"/>
        <v>1750137</v>
      </c>
      <c r="U13" s="84">
        <v>1750137</v>
      </c>
      <c r="V13" s="84">
        <v>0</v>
      </c>
      <c r="W13" s="135">
        <f t="shared" si="21"/>
        <v>0</v>
      </c>
    </row>
    <row r="14" spans="1:220">
      <c r="A14" s="15">
        <v>2011</v>
      </c>
      <c r="B14" s="528">
        <v>16</v>
      </c>
      <c r="C14" s="528">
        <v>0</v>
      </c>
      <c r="D14" s="23">
        <f t="shared" ref="D14:D23" si="25">SUM(B14:C14)</f>
        <v>16</v>
      </c>
      <c r="E14" s="82">
        <f t="shared" si="22"/>
        <v>18</v>
      </c>
      <c r="F14" s="82">
        <f t="shared" si="23"/>
        <v>18</v>
      </c>
      <c r="G14" s="85"/>
      <c r="H14" s="85"/>
      <c r="I14" s="528">
        <v>108</v>
      </c>
      <c r="J14" s="528">
        <v>186</v>
      </c>
      <c r="K14" s="23">
        <f t="shared" ref="K14:K23" si="26">SUM(I14:J14)</f>
        <v>294</v>
      </c>
      <c r="L14" s="528">
        <v>176</v>
      </c>
      <c r="M14" s="82">
        <f t="shared" ref="M14:M23" si="27">(I14+L14)</f>
        <v>284</v>
      </c>
      <c r="N14" s="528">
        <v>60</v>
      </c>
      <c r="O14" s="528">
        <v>284</v>
      </c>
      <c r="P14" s="133">
        <f t="shared" si="20"/>
        <v>1</v>
      </c>
      <c r="Q14" s="528">
        <v>152</v>
      </c>
      <c r="R14" s="528">
        <v>0</v>
      </c>
      <c r="S14" s="84">
        <v>1917376</v>
      </c>
      <c r="T14" s="24">
        <f t="shared" si="24"/>
        <v>2040362</v>
      </c>
      <c r="U14" s="84">
        <v>1974222</v>
      </c>
      <c r="V14" s="84">
        <v>66140</v>
      </c>
      <c r="W14" s="135">
        <f t="shared" si="21"/>
        <v>3.2415816409048982E-2</v>
      </c>
    </row>
    <row r="15" spans="1:220">
      <c r="A15" s="15">
        <v>2010</v>
      </c>
      <c r="B15" s="528">
        <v>15</v>
      </c>
      <c r="C15" s="528">
        <v>0</v>
      </c>
      <c r="D15" s="23">
        <f t="shared" si="25"/>
        <v>15</v>
      </c>
      <c r="E15" s="82">
        <f t="shared" si="22"/>
        <v>17</v>
      </c>
      <c r="F15" s="82">
        <f t="shared" si="23"/>
        <v>17</v>
      </c>
      <c r="G15" s="85"/>
      <c r="H15" s="85"/>
      <c r="I15" s="528">
        <v>148</v>
      </c>
      <c r="J15" s="528">
        <v>225</v>
      </c>
      <c r="K15" s="23">
        <f t="shared" si="26"/>
        <v>373</v>
      </c>
      <c r="L15" s="528">
        <v>113</v>
      </c>
      <c r="M15" s="82">
        <f t="shared" si="27"/>
        <v>261</v>
      </c>
      <c r="N15" s="528">
        <v>69</v>
      </c>
      <c r="O15" s="528">
        <v>261</v>
      </c>
      <c r="P15" s="133">
        <f t="shared" si="20"/>
        <v>1</v>
      </c>
      <c r="Q15" s="528">
        <v>212</v>
      </c>
      <c r="R15" s="528">
        <v>0</v>
      </c>
      <c r="S15" s="84">
        <v>1917240.37</v>
      </c>
      <c r="T15" s="24">
        <f t="shared" si="24"/>
        <v>1899171.73</v>
      </c>
      <c r="U15" s="84">
        <v>1799171.73</v>
      </c>
      <c r="V15" s="84">
        <v>100000</v>
      </c>
      <c r="W15" s="135">
        <f t="shared" si="21"/>
        <v>5.2654532720956201E-2</v>
      </c>
    </row>
    <row r="16" spans="1:220">
      <c r="A16" s="15">
        <v>2009</v>
      </c>
      <c r="B16" s="528">
        <v>15</v>
      </c>
      <c r="C16" s="528">
        <v>0.5</v>
      </c>
      <c r="D16" s="23">
        <f t="shared" si="25"/>
        <v>15.5</v>
      </c>
      <c r="E16" s="82">
        <f t="shared" si="22"/>
        <v>18</v>
      </c>
      <c r="F16" s="82">
        <f t="shared" si="23"/>
        <v>17</v>
      </c>
      <c r="G16" s="85"/>
      <c r="H16" s="85"/>
      <c r="I16" s="528">
        <v>119</v>
      </c>
      <c r="J16" s="528">
        <v>279</v>
      </c>
      <c r="K16" s="23">
        <f t="shared" si="26"/>
        <v>398</v>
      </c>
      <c r="L16" s="528">
        <v>150</v>
      </c>
      <c r="M16" s="82">
        <f t="shared" si="27"/>
        <v>269</v>
      </c>
      <c r="N16" s="528">
        <v>75</v>
      </c>
      <c r="O16" s="528">
        <v>269</v>
      </c>
      <c r="P16" s="133">
        <f t="shared" si="20"/>
        <v>1</v>
      </c>
      <c r="Q16" s="528">
        <v>179</v>
      </c>
      <c r="R16" s="528">
        <v>0</v>
      </c>
      <c r="S16" s="84">
        <v>2245150.88</v>
      </c>
      <c r="T16" s="24">
        <f t="shared" si="24"/>
        <v>2338651</v>
      </c>
      <c r="U16" s="84">
        <v>1932574</v>
      </c>
      <c r="V16" s="84">
        <v>406077</v>
      </c>
      <c r="W16" s="135">
        <f t="shared" si="21"/>
        <v>0.17363728063742731</v>
      </c>
    </row>
    <row r="17" spans="1:23">
      <c r="A17" s="15">
        <v>2008</v>
      </c>
      <c r="B17" s="528">
        <v>16</v>
      </c>
      <c r="C17" s="528">
        <v>1.5</v>
      </c>
      <c r="D17" s="23">
        <f t="shared" si="25"/>
        <v>17.5</v>
      </c>
      <c r="E17" s="82">
        <f t="shared" si="22"/>
        <v>20</v>
      </c>
      <c r="F17" s="82">
        <f t="shared" si="23"/>
        <v>19</v>
      </c>
      <c r="G17" s="85"/>
      <c r="H17" s="85"/>
      <c r="I17" s="528">
        <v>88</v>
      </c>
      <c r="J17" s="528">
        <v>359</v>
      </c>
      <c r="K17" s="23">
        <f t="shared" si="26"/>
        <v>447</v>
      </c>
      <c r="L17" s="528">
        <v>238.5</v>
      </c>
      <c r="M17" s="82">
        <f t="shared" si="27"/>
        <v>326.5</v>
      </c>
      <c r="N17" s="528">
        <v>83</v>
      </c>
      <c r="O17" s="528">
        <v>327</v>
      </c>
      <c r="P17" s="133">
        <f t="shared" si="20"/>
        <v>0.99847094801223246</v>
      </c>
      <c r="Q17" s="528">
        <v>167</v>
      </c>
      <c r="R17" s="528">
        <v>0</v>
      </c>
      <c r="S17" s="84">
        <v>2144389</v>
      </c>
      <c r="T17" s="24">
        <f t="shared" si="24"/>
        <v>2256886</v>
      </c>
      <c r="U17" s="84">
        <v>1859188</v>
      </c>
      <c r="V17" s="84">
        <v>397698</v>
      </c>
      <c r="W17" s="135">
        <f t="shared" si="21"/>
        <v>0.17621536931860979</v>
      </c>
    </row>
    <row r="18" spans="1:23">
      <c r="A18" s="15">
        <v>2007</v>
      </c>
      <c r="B18" s="528">
        <v>18</v>
      </c>
      <c r="C18" s="528">
        <v>5.25</v>
      </c>
      <c r="D18" s="23">
        <f t="shared" si="25"/>
        <v>23.25</v>
      </c>
      <c r="E18" s="82">
        <f t="shared" si="22"/>
        <v>17</v>
      </c>
      <c r="F18" s="82">
        <f t="shared" si="23"/>
        <v>13</v>
      </c>
      <c r="G18" s="85"/>
      <c r="H18" s="85"/>
      <c r="I18" s="528">
        <v>118</v>
      </c>
      <c r="J18" s="528">
        <v>372</v>
      </c>
      <c r="K18" s="23">
        <f t="shared" si="26"/>
        <v>490</v>
      </c>
      <c r="L18" s="528">
        <v>192</v>
      </c>
      <c r="M18" s="82">
        <f t="shared" si="27"/>
        <v>310</v>
      </c>
      <c r="N18" s="528">
        <v>102</v>
      </c>
      <c r="O18" s="528">
        <v>310</v>
      </c>
      <c r="P18" s="133">
        <f t="shared" si="20"/>
        <v>1</v>
      </c>
      <c r="Q18" s="528">
        <v>186</v>
      </c>
      <c r="R18" s="528">
        <v>0</v>
      </c>
      <c r="S18" s="132">
        <v>2369305</v>
      </c>
      <c r="T18" s="24">
        <f t="shared" si="24"/>
        <v>2576904</v>
      </c>
      <c r="U18" s="132">
        <v>2179222</v>
      </c>
      <c r="V18" s="132">
        <v>397682</v>
      </c>
      <c r="W18" s="135">
        <f t="shared" si="21"/>
        <v>0.15432550067833337</v>
      </c>
    </row>
    <row r="19" spans="1:23">
      <c r="A19" s="15">
        <v>2006</v>
      </c>
      <c r="B19" s="528">
        <v>20</v>
      </c>
      <c r="C19" s="528">
        <v>6</v>
      </c>
      <c r="D19" s="23">
        <f t="shared" si="25"/>
        <v>26</v>
      </c>
      <c r="E19" s="82">
        <f t="shared" si="22"/>
        <v>17</v>
      </c>
      <c r="F19" s="82">
        <f t="shared" si="23"/>
        <v>13</v>
      </c>
      <c r="G19" s="85"/>
      <c r="H19" s="85"/>
      <c r="I19" s="528">
        <v>111</v>
      </c>
      <c r="J19" s="528">
        <v>422</v>
      </c>
      <c r="K19" s="23">
        <f t="shared" si="26"/>
        <v>533</v>
      </c>
      <c r="L19" s="528">
        <v>214</v>
      </c>
      <c r="M19" s="82">
        <f t="shared" si="27"/>
        <v>325</v>
      </c>
      <c r="N19" s="528">
        <v>115</v>
      </c>
      <c r="O19" s="528">
        <v>333</v>
      </c>
      <c r="P19" s="133">
        <f t="shared" si="20"/>
        <v>0.97597597597597596</v>
      </c>
      <c r="Q19" s="528">
        <v>170</v>
      </c>
      <c r="R19" s="528">
        <v>38</v>
      </c>
      <c r="S19" s="132">
        <v>2505393.4500000002</v>
      </c>
      <c r="T19" s="24">
        <f t="shared" si="24"/>
        <v>2142303</v>
      </c>
      <c r="U19" s="132">
        <v>1845213</v>
      </c>
      <c r="V19" s="132">
        <v>297090</v>
      </c>
      <c r="W19" s="135">
        <f t="shared" si="21"/>
        <v>0.1386778620951378</v>
      </c>
    </row>
    <row r="20" spans="1:23">
      <c r="A20" s="15">
        <v>2005</v>
      </c>
      <c r="B20" s="528">
        <v>17</v>
      </c>
      <c r="C20" s="528">
        <v>4</v>
      </c>
      <c r="D20" s="23">
        <f t="shared" si="25"/>
        <v>21</v>
      </c>
      <c r="E20" s="82">
        <f t="shared" si="22"/>
        <v>21</v>
      </c>
      <c r="F20" s="82">
        <f t="shared" si="23"/>
        <v>17</v>
      </c>
      <c r="G20" s="85"/>
      <c r="H20" s="85"/>
      <c r="I20" s="528">
        <v>128</v>
      </c>
      <c r="J20" s="528">
        <v>423</v>
      </c>
      <c r="K20" s="23">
        <f t="shared" si="26"/>
        <v>551</v>
      </c>
      <c r="L20" s="528">
        <v>217</v>
      </c>
      <c r="M20" s="82">
        <f t="shared" si="27"/>
        <v>345</v>
      </c>
      <c r="N20" s="528">
        <v>111</v>
      </c>
      <c r="O20" s="528">
        <v>351</v>
      </c>
      <c r="P20" s="133">
        <f t="shared" si="20"/>
        <v>0.98290598290598286</v>
      </c>
      <c r="Q20" s="528">
        <v>158</v>
      </c>
      <c r="R20" s="528">
        <v>0</v>
      </c>
      <c r="S20" s="132">
        <v>1787692.78</v>
      </c>
      <c r="T20" s="24">
        <f t="shared" si="24"/>
        <v>1963694.27</v>
      </c>
      <c r="U20" s="132">
        <v>1674591</v>
      </c>
      <c r="V20" s="132">
        <v>289103.27</v>
      </c>
      <c r="W20" s="135">
        <f t="shared" si="21"/>
        <v>0.14722417558411474</v>
      </c>
    </row>
    <row r="21" spans="1:23">
      <c r="A21" s="15">
        <v>2004</v>
      </c>
      <c r="B21" s="528">
        <v>17</v>
      </c>
      <c r="C21" s="528">
        <v>3</v>
      </c>
      <c r="D21" s="23">
        <f t="shared" si="25"/>
        <v>20</v>
      </c>
      <c r="E21" s="82">
        <f t="shared" si="22"/>
        <v>20</v>
      </c>
      <c r="F21" s="82">
        <f t="shared" si="23"/>
        <v>17</v>
      </c>
      <c r="G21" s="85"/>
      <c r="H21" s="85"/>
      <c r="I21" s="528">
        <v>119</v>
      </c>
      <c r="J21" s="528">
        <v>398</v>
      </c>
      <c r="K21" s="23">
        <f t="shared" si="26"/>
        <v>517</v>
      </c>
      <c r="L21" s="528">
        <v>206</v>
      </c>
      <c r="M21" s="82">
        <f t="shared" si="27"/>
        <v>325</v>
      </c>
      <c r="N21" s="528">
        <v>85</v>
      </c>
      <c r="O21" s="528">
        <v>332</v>
      </c>
      <c r="P21" s="133">
        <f t="shared" si="20"/>
        <v>0.97891566265060237</v>
      </c>
      <c r="Q21" s="528">
        <v>139</v>
      </c>
      <c r="R21" s="528">
        <v>0</v>
      </c>
      <c r="S21" s="132">
        <v>1317522</v>
      </c>
      <c r="T21" s="24">
        <f t="shared" si="24"/>
        <v>1317522</v>
      </c>
      <c r="U21" s="132">
        <v>1195490</v>
      </c>
      <c r="V21" s="132">
        <v>122032</v>
      </c>
      <c r="W21" s="135">
        <f t="shared" si="21"/>
        <v>9.2622362283134557E-2</v>
      </c>
    </row>
    <row r="22" spans="1:23">
      <c r="A22" s="15">
        <v>2003</v>
      </c>
      <c r="B22" s="528">
        <v>16</v>
      </c>
      <c r="C22" s="528">
        <f>ROUND(3.66, 0)</f>
        <v>4</v>
      </c>
      <c r="D22" s="23">
        <f t="shared" si="25"/>
        <v>20</v>
      </c>
      <c r="E22" s="82">
        <f t="shared" si="22"/>
        <v>17</v>
      </c>
      <c r="F22" s="82">
        <f t="shared" si="23"/>
        <v>14</v>
      </c>
      <c r="G22" s="85"/>
      <c r="H22" s="85"/>
      <c r="I22" s="528">
        <v>92</v>
      </c>
      <c r="J22" s="528">
        <v>302</v>
      </c>
      <c r="K22" s="23">
        <f t="shared" si="26"/>
        <v>394</v>
      </c>
      <c r="L22" s="528">
        <f>ROUND(146, 0)</f>
        <v>146</v>
      </c>
      <c r="M22" s="82">
        <f t="shared" si="27"/>
        <v>238</v>
      </c>
      <c r="N22" s="528">
        <v>66</v>
      </c>
      <c r="O22" s="528">
        <v>279</v>
      </c>
      <c r="P22" s="133">
        <f t="shared" si="20"/>
        <v>0.8530465949820788</v>
      </c>
      <c r="Q22" s="528">
        <v>133</v>
      </c>
      <c r="R22" s="528">
        <v>0</v>
      </c>
      <c r="S22" s="132">
        <v>1317521.73</v>
      </c>
      <c r="T22" s="24">
        <f t="shared" si="24"/>
        <v>1380065.99</v>
      </c>
      <c r="U22" s="132">
        <v>1258033.9099999999</v>
      </c>
      <c r="V22" s="132">
        <v>122032.08</v>
      </c>
      <c r="W22" s="135">
        <f t="shared" si="21"/>
        <v>8.8424815106124016E-2</v>
      </c>
    </row>
    <row r="23" spans="1:23">
      <c r="A23" s="15">
        <v>2002</v>
      </c>
      <c r="B23" s="528">
        <v>17</v>
      </c>
      <c r="C23" s="528">
        <f>ROUND(1.5, 0)</f>
        <v>2</v>
      </c>
      <c r="D23" s="23">
        <f t="shared" si="25"/>
        <v>19</v>
      </c>
      <c r="E23" s="82">
        <f t="shared" si="22"/>
        <v>19</v>
      </c>
      <c r="F23" s="82">
        <f t="shared" si="23"/>
        <v>17</v>
      </c>
      <c r="G23" s="85"/>
      <c r="H23" s="85"/>
      <c r="I23" s="528">
        <v>64</v>
      </c>
      <c r="J23" s="528">
        <v>278</v>
      </c>
      <c r="K23" s="23">
        <f t="shared" si="26"/>
        <v>342</v>
      </c>
      <c r="L23" s="528">
        <v>132</v>
      </c>
      <c r="M23" s="82">
        <f t="shared" si="27"/>
        <v>196</v>
      </c>
      <c r="N23" s="528">
        <v>50</v>
      </c>
      <c r="O23" s="528">
        <v>325</v>
      </c>
      <c r="P23" s="133">
        <f t="shared" si="20"/>
        <v>0.60307692307692307</v>
      </c>
      <c r="Q23" s="528">
        <v>182</v>
      </c>
      <c r="R23" s="528">
        <v>0</v>
      </c>
      <c r="S23" s="132">
        <v>1432023</v>
      </c>
      <c r="T23" s="24">
        <f t="shared" si="24"/>
        <v>1626632</v>
      </c>
      <c r="U23" s="132">
        <v>1465717</v>
      </c>
      <c r="V23" s="132">
        <v>160915</v>
      </c>
      <c r="W23" s="135">
        <f t="shared" si="21"/>
        <v>9.8925263981035655E-2</v>
      </c>
    </row>
    <row r="24" spans="1:23">
      <c r="A24" s="538" t="s">
        <v>190</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3">
      <c r="A25" s="566" t="s">
        <v>191</v>
      </c>
      <c r="B25" s="566"/>
      <c r="C25" s="566"/>
      <c r="D25" s="566"/>
      <c r="E25" s="566"/>
      <c r="F25" s="566"/>
      <c r="G25" s="566"/>
      <c r="H25" s="566"/>
      <c r="I25" s="566"/>
      <c r="J25" s="566"/>
      <c r="K25" s="566"/>
      <c r="L25" s="566"/>
      <c r="M25" s="566"/>
      <c r="N25" s="566"/>
      <c r="O25" s="566"/>
      <c r="P25" s="566"/>
      <c r="Q25" s="566"/>
      <c r="R25" s="566"/>
      <c r="S25" s="566"/>
      <c r="T25" s="566"/>
      <c r="U25" s="566"/>
      <c r="V25" s="566"/>
      <c r="W25" s="566"/>
    </row>
    <row r="26" spans="1:23">
      <c r="A26" s="538" t="s">
        <v>192</v>
      </c>
      <c r="B26" s="538"/>
      <c r="C26" s="538"/>
      <c r="D26" s="538"/>
      <c r="E26" s="538"/>
      <c r="F26" s="538"/>
      <c r="G26" s="538"/>
      <c r="H26" s="538"/>
      <c r="I26" s="538"/>
      <c r="J26" s="538"/>
      <c r="K26" s="538"/>
      <c r="L26" s="538"/>
      <c r="M26" s="538"/>
      <c r="N26" s="538"/>
      <c r="O26" s="538"/>
      <c r="P26" s="538"/>
      <c r="Q26" s="538"/>
      <c r="R26" s="538"/>
      <c r="S26" s="538"/>
      <c r="T26" s="538"/>
      <c r="U26" s="538"/>
      <c r="V26" s="538"/>
      <c r="W26" s="538"/>
    </row>
    <row r="27" spans="1:23">
      <c r="A27" s="566" t="s">
        <v>193</v>
      </c>
      <c r="B27" s="566"/>
      <c r="C27" s="566"/>
      <c r="D27" s="566"/>
      <c r="E27" s="566"/>
      <c r="F27" s="566"/>
      <c r="G27" s="566"/>
      <c r="H27" s="566"/>
      <c r="I27" s="566"/>
      <c r="J27" s="566"/>
      <c r="K27" s="566"/>
      <c r="L27" s="566"/>
      <c r="M27" s="566"/>
      <c r="N27" s="566"/>
      <c r="O27" s="566"/>
      <c r="P27" s="566"/>
      <c r="Q27" s="566"/>
      <c r="R27" s="566"/>
      <c r="S27" s="566"/>
      <c r="T27" s="566"/>
      <c r="U27" s="566"/>
      <c r="V27" s="566"/>
      <c r="W27" s="566"/>
    </row>
    <row r="28" spans="1:23" s="12" customFormat="1">
      <c r="A28" s="539" t="s">
        <v>194</v>
      </c>
      <c r="B28" s="538"/>
      <c r="C28" s="538"/>
      <c r="D28" s="538"/>
      <c r="E28" s="538"/>
      <c r="F28" s="538"/>
      <c r="G28" s="538"/>
      <c r="H28" s="538"/>
      <c r="I28" s="538"/>
      <c r="J28" s="538"/>
      <c r="K28" s="538"/>
      <c r="L28" s="538"/>
      <c r="M28" s="538"/>
      <c r="N28" s="538"/>
      <c r="O28" s="538"/>
      <c r="P28" s="538"/>
      <c r="Q28" s="538"/>
      <c r="R28" s="538"/>
      <c r="S28" s="538"/>
      <c r="T28" s="538"/>
      <c r="U28" s="538"/>
      <c r="V28" s="538"/>
      <c r="W28" s="538"/>
    </row>
    <row r="29" spans="1:23" s="12" customFormat="1">
      <c r="A29" s="12" t="s">
        <v>195</v>
      </c>
      <c r="G29"/>
      <c r="H29"/>
    </row>
    <row r="30" spans="1:23" s="12" customFormat="1">
      <c r="A30" s="12" t="s">
        <v>196</v>
      </c>
      <c r="G30"/>
      <c r="H30"/>
    </row>
    <row r="31" spans="1:23" s="12" customFormat="1">
      <c r="A31" s="12" t="s">
        <v>197</v>
      </c>
      <c r="G31"/>
      <c r="H31"/>
    </row>
  </sheetData>
  <mergeCells count="5">
    <mergeCell ref="A28:W28"/>
    <mergeCell ref="A27:W27"/>
    <mergeCell ref="A25:W25"/>
    <mergeCell ref="A24:W24"/>
    <mergeCell ref="A26:W26"/>
  </mergeCells>
  <printOptions headings="1" gridLines="1"/>
  <pageMargins left="0.5" right="0.5" top="0.5" bottom="0.5" header="0" footer="0"/>
  <pageSetup paperSize="5" scale="66" orientation="landscape"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L34"/>
  <sheetViews>
    <sheetView workbookViewId="0">
      <selection activeCell="G6" sqref="G6"/>
    </sheetView>
  </sheetViews>
  <sheetFormatPr defaultColWidth="8.85546875" defaultRowHeight="15"/>
  <cols>
    <col min="1" max="1" width="10" customWidth="1"/>
    <col min="2" max="2" width="7.42578125"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3" width="13.140625" bestFit="1" customWidth="1"/>
    <col min="14" max="14" width="11.42578125" customWidth="1"/>
    <col min="15" max="15" width="13.42578125" bestFit="1" customWidth="1"/>
    <col min="16" max="16" width="14.28515625" customWidth="1"/>
    <col min="17" max="17" width="12.42578125" bestFit="1" customWidth="1"/>
    <col min="18" max="18" width="9" bestFit="1" customWidth="1"/>
    <col min="19" max="19" width="12.140625" customWidth="1"/>
    <col min="20" max="20" width="11.42578125" customWidth="1"/>
    <col min="21" max="21" width="11.85546875" customWidth="1"/>
    <col min="22" max="22" width="10.85546875" bestFit="1" customWidth="1"/>
    <col min="23" max="23" width="12.85546875" bestFit="1" customWidth="1"/>
  </cols>
  <sheetData>
    <row r="1" spans="1:220" s="1" customFormat="1" ht="18.75">
      <c r="A1" s="1" t="s">
        <v>42</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row>
    <row r="2" spans="1:220" s="3"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row>
    <row r="3" spans="1:220">
      <c r="A3" s="105">
        <v>2022</v>
      </c>
      <c r="B3" s="66">
        <v>23</v>
      </c>
      <c r="C3" s="17">
        <v>22.55</v>
      </c>
      <c r="D3" s="23">
        <f>SUM(B3:C3)</f>
        <v>45.55</v>
      </c>
      <c r="E3" s="82">
        <f>ROUND((O3/B3), 0)</f>
        <v>49</v>
      </c>
      <c r="F3" s="82">
        <f>ROUND((O3/D3),0)</f>
        <v>25</v>
      </c>
      <c r="G3" s="66">
        <v>14</v>
      </c>
      <c r="H3" s="66">
        <v>6</v>
      </c>
      <c r="I3" s="66">
        <f>15+47</f>
        <v>62</v>
      </c>
      <c r="J3" s="66">
        <f>81+18</f>
        <v>99</v>
      </c>
      <c r="K3" s="23">
        <f t="shared" ref="K3" si="0">SUM(I3:J3)</f>
        <v>161</v>
      </c>
      <c r="L3" s="66">
        <f>45+10.89</f>
        <v>55.89</v>
      </c>
      <c r="M3" s="82">
        <f>(I3+L3)</f>
        <v>117.89</v>
      </c>
      <c r="N3" s="66">
        <v>60</v>
      </c>
      <c r="O3" s="66">
        <f>794+145+161+22</f>
        <v>1122</v>
      </c>
      <c r="P3" s="133">
        <f t="shared" ref="P3" si="1">M3/O3</f>
        <v>0.10507130124777184</v>
      </c>
      <c r="Q3" s="66">
        <v>87</v>
      </c>
      <c r="R3" s="66">
        <f>335-87</f>
        <v>248</v>
      </c>
      <c r="S3" s="20">
        <v>6131954</v>
      </c>
      <c r="T3" s="24">
        <f>SUM(U3:V3)</f>
        <v>6654847</v>
      </c>
      <c r="U3" s="20">
        <v>5965361</v>
      </c>
      <c r="V3" s="20">
        <v>689486</v>
      </c>
      <c r="W3" s="135">
        <f>V3/T3</f>
        <v>0.10360658930250387</v>
      </c>
    </row>
    <row r="4" spans="1:220">
      <c r="A4" s="105">
        <v>2021</v>
      </c>
      <c r="B4" s="66">
        <v>22</v>
      </c>
      <c r="C4" s="17">
        <v>10.199999999999999</v>
      </c>
      <c r="D4" s="23">
        <f>SUM(B4:C4)</f>
        <v>32.200000000000003</v>
      </c>
      <c r="E4" s="82">
        <f>ROUND((O4/B4), 0)</f>
        <v>54</v>
      </c>
      <c r="F4" s="82">
        <f>ROUND((O4/D4),0)</f>
        <v>37</v>
      </c>
      <c r="G4" s="66">
        <v>14</v>
      </c>
      <c r="H4" s="66">
        <v>6</v>
      </c>
      <c r="I4" s="66">
        <v>95</v>
      </c>
      <c r="J4" s="66">
        <v>160</v>
      </c>
      <c r="K4" s="23">
        <f t="shared" ref="K4" si="2">SUM(I4:J4)</f>
        <v>255</v>
      </c>
      <c r="L4" s="66">
        <v>88.04</v>
      </c>
      <c r="M4" s="82">
        <f>(I4+L4)</f>
        <v>183.04000000000002</v>
      </c>
      <c r="N4" s="66">
        <v>72</v>
      </c>
      <c r="O4" s="66">
        <v>1189.71</v>
      </c>
      <c r="P4" s="133">
        <f t="shared" ref="P4" si="3">M4/O4</f>
        <v>0.15385261954593979</v>
      </c>
      <c r="Q4" s="66">
        <v>72</v>
      </c>
      <c r="R4" s="66">
        <v>172</v>
      </c>
      <c r="S4" s="20">
        <v>5226818</v>
      </c>
      <c r="T4" s="24">
        <f>SUM(U4:V4)</f>
        <v>8818116</v>
      </c>
      <c r="U4" s="20">
        <v>7699148</v>
      </c>
      <c r="V4" s="20">
        <v>1118968</v>
      </c>
      <c r="W4" s="135">
        <f>V4/T4</f>
        <v>0.12689422547854892</v>
      </c>
    </row>
    <row r="5" spans="1:220">
      <c r="A5" s="105">
        <v>2020</v>
      </c>
      <c r="B5" s="66">
        <v>21</v>
      </c>
      <c r="C5" s="17">
        <v>9.1999999999999993</v>
      </c>
      <c r="D5" s="23">
        <f>SUM(B5:C5)</f>
        <v>30.2</v>
      </c>
      <c r="E5" s="82">
        <f>ROUND((O5/B5), 0)</f>
        <v>34</v>
      </c>
      <c r="F5" s="82">
        <f>ROUND((O5/D5),0)</f>
        <v>24</v>
      </c>
      <c r="G5" s="66">
        <v>13</v>
      </c>
      <c r="H5" s="66">
        <v>5</v>
      </c>
      <c r="I5" s="66">
        <v>74</v>
      </c>
      <c r="J5" s="66">
        <v>122</v>
      </c>
      <c r="K5" s="23">
        <f t="shared" ref="K5" si="4">SUM(I5:J5)</f>
        <v>196</v>
      </c>
      <c r="L5" s="66">
        <v>71.33</v>
      </c>
      <c r="M5" s="82">
        <f>(I5+L5)</f>
        <v>145.32999999999998</v>
      </c>
      <c r="N5" s="66">
        <v>62</v>
      </c>
      <c r="O5" s="66">
        <v>716.82</v>
      </c>
      <c r="P5" s="133">
        <f t="shared" ref="P5" si="5">M5/O5</f>
        <v>0.20274266901035123</v>
      </c>
      <c r="Q5" s="66">
        <v>59</v>
      </c>
      <c r="R5" s="66">
        <v>194</v>
      </c>
      <c r="S5" s="20">
        <v>6251069</v>
      </c>
      <c r="T5" s="24">
        <f>SUM(U5:V5)</f>
        <v>6065473</v>
      </c>
      <c r="U5" s="20">
        <v>2277582</v>
      </c>
      <c r="V5" s="20">
        <v>3787891</v>
      </c>
      <c r="W5" s="135">
        <f>V5/T5</f>
        <v>0.62450051298554954</v>
      </c>
    </row>
    <row r="6" spans="1:220">
      <c r="A6" s="105">
        <v>2019</v>
      </c>
      <c r="B6" s="66">
        <v>19</v>
      </c>
      <c r="C6" s="17">
        <v>9.4</v>
      </c>
      <c r="D6" s="23">
        <v>28.4</v>
      </c>
      <c r="E6" s="82">
        <v>36</v>
      </c>
      <c r="F6" s="82">
        <v>24</v>
      </c>
      <c r="G6" s="66">
        <v>9</v>
      </c>
      <c r="H6" s="66">
        <v>9</v>
      </c>
      <c r="I6" s="66">
        <v>92</v>
      </c>
      <c r="J6" s="66">
        <v>104</v>
      </c>
      <c r="K6" s="23">
        <v>196</v>
      </c>
      <c r="L6" s="66">
        <v>55.15</v>
      </c>
      <c r="M6" s="23">
        <v>131.19999999999999</v>
      </c>
      <c r="N6" s="66">
        <v>48</v>
      </c>
      <c r="O6" s="66">
        <v>676.02</v>
      </c>
      <c r="P6" s="133">
        <v>0.19409999999999999</v>
      </c>
      <c r="Q6" s="66">
        <v>69</v>
      </c>
      <c r="R6" s="66">
        <v>173</v>
      </c>
      <c r="S6" s="20">
        <v>5617402</v>
      </c>
      <c r="T6" s="24">
        <v>6705165</v>
      </c>
      <c r="U6" s="20">
        <v>2180437</v>
      </c>
      <c r="V6" s="20">
        <v>4524728</v>
      </c>
      <c r="W6" s="135">
        <f>V6/T6</f>
        <v>0.67481232751170184</v>
      </c>
    </row>
    <row r="7" spans="1:220" s="14" customFormat="1">
      <c r="A7" s="10">
        <v>2018</v>
      </c>
      <c r="B7" s="17">
        <v>19</v>
      </c>
      <c r="C7" s="17">
        <v>9.0500000000000007</v>
      </c>
      <c r="D7" s="23">
        <f>SUM(B7:C7)</f>
        <v>28.05</v>
      </c>
      <c r="E7" s="82">
        <f>ROUND((O7/B7), 0)</f>
        <v>32</v>
      </c>
      <c r="F7" s="82">
        <f>ROUND((O7/D7), 0)</f>
        <v>22</v>
      </c>
      <c r="G7" s="17">
        <v>6</v>
      </c>
      <c r="H7" s="17">
        <v>6</v>
      </c>
      <c r="I7" s="17">
        <v>69</v>
      </c>
      <c r="J7" s="17">
        <v>101</v>
      </c>
      <c r="K7" s="23">
        <f t="shared" ref="K7" si="6">SUM(I7:J7)</f>
        <v>170</v>
      </c>
      <c r="L7" s="17">
        <v>52.75</v>
      </c>
      <c r="M7" s="82">
        <f>(I7+L7)</f>
        <v>121.75</v>
      </c>
      <c r="N7" s="17">
        <v>47</v>
      </c>
      <c r="O7" s="17">
        <v>606</v>
      </c>
      <c r="P7" s="133">
        <f>M7/O7</f>
        <v>0.20090759075907591</v>
      </c>
      <c r="Q7" s="17">
        <v>59</v>
      </c>
      <c r="R7" s="17">
        <v>131</v>
      </c>
      <c r="S7" s="20">
        <v>4561721</v>
      </c>
      <c r="T7" s="24">
        <f>SUM(U7:V7)</f>
        <v>4563656</v>
      </c>
      <c r="U7" s="20">
        <v>2375508</v>
      </c>
      <c r="V7" s="20">
        <v>2188148</v>
      </c>
      <c r="W7" s="135">
        <f>V7/T7</f>
        <v>0.47947259828523447</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14" customFormat="1">
      <c r="A8" s="10">
        <v>2017</v>
      </c>
      <c r="B8" s="17">
        <v>17</v>
      </c>
      <c r="C8" s="17">
        <v>3.5</v>
      </c>
      <c r="D8" s="23">
        <f>SUM(B8:C8)</f>
        <v>20.5</v>
      </c>
      <c r="E8" s="82">
        <f>ROUND((O8/B8), 0)</f>
        <v>35</v>
      </c>
      <c r="F8" s="82">
        <f>ROUND((O8/D8), 0)</f>
        <v>29</v>
      </c>
      <c r="G8" s="17">
        <v>7</v>
      </c>
      <c r="H8" s="17">
        <v>6</v>
      </c>
      <c r="I8" s="17">
        <v>68</v>
      </c>
      <c r="J8" s="17">
        <v>118</v>
      </c>
      <c r="K8" s="23">
        <f>SUM(I8:J8)</f>
        <v>186</v>
      </c>
      <c r="L8" s="17">
        <v>67.010000000000005</v>
      </c>
      <c r="M8" s="82">
        <f>I8+L8</f>
        <v>135.01</v>
      </c>
      <c r="N8" s="17">
        <v>64</v>
      </c>
      <c r="O8" s="17">
        <v>588</v>
      </c>
      <c r="P8" s="133">
        <f t="shared" ref="P8:P23" si="7">M8/O8</f>
        <v>0.22960884353741495</v>
      </c>
      <c r="Q8" s="17">
        <v>56</v>
      </c>
      <c r="R8" s="17">
        <v>85</v>
      </c>
      <c r="S8" s="252">
        <v>3907783</v>
      </c>
      <c r="T8" s="24">
        <f>SUM(U8:V8)</f>
        <v>3907783</v>
      </c>
      <c r="U8" s="252">
        <v>2293758</v>
      </c>
      <c r="V8" s="252">
        <v>1614025</v>
      </c>
      <c r="W8" s="135">
        <f t="shared" ref="W8:W23" si="8">V8/T8</f>
        <v>0.41302830786663436</v>
      </c>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row>
    <row r="9" spans="1:220" s="14" customFormat="1">
      <c r="A9" s="10">
        <v>2016</v>
      </c>
      <c r="B9" s="54">
        <v>17</v>
      </c>
      <c r="C9" s="54">
        <v>3</v>
      </c>
      <c r="D9" s="23">
        <f>SUM(B9:C9)</f>
        <v>20</v>
      </c>
      <c r="E9" s="82">
        <f>ROUND((O9/B9), 0)</f>
        <v>27</v>
      </c>
      <c r="F9" s="82">
        <f>ROUND((O9/D9), 0)</f>
        <v>23</v>
      </c>
      <c r="G9" s="54">
        <v>7</v>
      </c>
      <c r="H9" s="54">
        <v>2</v>
      </c>
      <c r="I9" s="54">
        <v>57</v>
      </c>
      <c r="J9" s="54">
        <v>105</v>
      </c>
      <c r="K9" s="23">
        <f>SUM(I9:J9)</f>
        <v>162</v>
      </c>
      <c r="L9" s="54">
        <v>59.79</v>
      </c>
      <c r="M9" s="82">
        <f>I9+L9</f>
        <v>116.78999999999999</v>
      </c>
      <c r="N9" s="54">
        <v>54</v>
      </c>
      <c r="O9" s="54">
        <v>452</v>
      </c>
      <c r="P9" s="133">
        <f t="shared" si="7"/>
        <v>0.25838495575221238</v>
      </c>
      <c r="Q9" s="54">
        <v>60</v>
      </c>
      <c r="R9" s="54">
        <v>41</v>
      </c>
      <c r="S9" s="137">
        <v>4883324</v>
      </c>
      <c r="T9" s="24">
        <f>SUM(U9:V9)</f>
        <v>4536444</v>
      </c>
      <c r="U9" s="137">
        <v>4071224</v>
      </c>
      <c r="V9" s="137">
        <v>465220</v>
      </c>
      <c r="W9" s="135">
        <f t="shared" si="8"/>
        <v>0.10255169026664938</v>
      </c>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row>
    <row r="10" spans="1:220" s="16" customFormat="1">
      <c r="A10" s="105">
        <v>2015</v>
      </c>
      <c r="B10" s="66">
        <v>14</v>
      </c>
      <c r="C10" s="66">
        <v>3</v>
      </c>
      <c r="D10" s="106">
        <v>17</v>
      </c>
      <c r="E10" s="138">
        <v>41.571428571428569</v>
      </c>
      <c r="F10" s="138">
        <v>34.235294117647058</v>
      </c>
      <c r="G10" s="83"/>
      <c r="H10" s="83"/>
      <c r="I10" s="139">
        <v>58</v>
      </c>
      <c r="J10" s="139">
        <v>85</v>
      </c>
      <c r="K10" s="140">
        <v>143</v>
      </c>
      <c r="L10" s="139">
        <v>50</v>
      </c>
      <c r="M10" s="140">
        <v>108</v>
      </c>
      <c r="N10" s="139">
        <v>44</v>
      </c>
      <c r="O10" s="66">
        <v>582</v>
      </c>
      <c r="P10" s="133">
        <f t="shared" si="7"/>
        <v>0.18556701030927836</v>
      </c>
      <c r="Q10" s="139">
        <v>91</v>
      </c>
      <c r="R10" s="139">
        <v>45</v>
      </c>
      <c r="S10" s="141">
        <v>2924643</v>
      </c>
      <c r="T10" s="142">
        <v>2791737</v>
      </c>
      <c r="U10" s="141">
        <v>1729490</v>
      </c>
      <c r="V10" s="141">
        <v>1062247</v>
      </c>
      <c r="W10" s="135">
        <f t="shared" si="8"/>
        <v>0.38049680181191853</v>
      </c>
    </row>
    <row r="11" spans="1:220">
      <c r="A11" s="107">
        <v>2014</v>
      </c>
      <c r="B11" s="122">
        <v>14</v>
      </c>
      <c r="C11" s="122">
        <v>2</v>
      </c>
      <c r="D11" s="119">
        <v>16</v>
      </c>
      <c r="E11" s="143">
        <v>49.218571428571423</v>
      </c>
      <c r="F11" s="143">
        <v>43.066249999999997</v>
      </c>
      <c r="G11" s="83"/>
      <c r="H11" s="83"/>
      <c r="I11" s="144">
        <v>58</v>
      </c>
      <c r="J11" s="144">
        <v>90</v>
      </c>
      <c r="K11" s="143">
        <v>148</v>
      </c>
      <c r="L11" s="144">
        <v>51</v>
      </c>
      <c r="M11" s="143">
        <v>109</v>
      </c>
      <c r="N11" s="144">
        <v>44</v>
      </c>
      <c r="O11" s="144">
        <v>689.06</v>
      </c>
      <c r="P11" s="133">
        <f t="shared" si="7"/>
        <v>0.15818651496241257</v>
      </c>
      <c r="Q11" s="122">
        <v>76</v>
      </c>
      <c r="R11" s="122">
        <v>27</v>
      </c>
      <c r="S11" s="145">
        <v>3720036</v>
      </c>
      <c r="T11" s="146">
        <v>3645987</v>
      </c>
      <c r="U11" s="145">
        <v>2289835</v>
      </c>
      <c r="V11" s="145">
        <v>1356152</v>
      </c>
      <c r="W11" s="135">
        <f t="shared" si="8"/>
        <v>0.37195744252516533</v>
      </c>
    </row>
    <row r="12" spans="1:220">
      <c r="A12" s="10" t="s">
        <v>34</v>
      </c>
      <c r="B12" s="528">
        <v>13</v>
      </c>
      <c r="C12" s="528">
        <v>1.95</v>
      </c>
      <c r="D12" s="23">
        <f t="shared" ref="D12:D23" si="9">SUM(B12:C12)</f>
        <v>14.95</v>
      </c>
      <c r="E12" s="82">
        <f t="shared" ref="E12:E23" si="10">ROUND((O12/B12), 0)</f>
        <v>12</v>
      </c>
      <c r="F12" s="82">
        <f t="shared" ref="F12:F23" si="11">ROUND((O12/D12), 0)</f>
        <v>10</v>
      </c>
      <c r="G12" s="85"/>
      <c r="H12" s="85"/>
      <c r="I12" s="528">
        <v>64</v>
      </c>
      <c r="J12" s="528">
        <v>180</v>
      </c>
      <c r="K12" s="23">
        <f t="shared" ref="K12:K23" si="12">SUM(I12:J12)</f>
        <v>244</v>
      </c>
      <c r="L12" s="528">
        <v>68.8</v>
      </c>
      <c r="M12" s="82">
        <f>I12+L12</f>
        <v>132.80000000000001</v>
      </c>
      <c r="N12" s="528">
        <v>52</v>
      </c>
      <c r="O12" s="528">
        <v>153.05000000000001</v>
      </c>
      <c r="P12" s="133">
        <f t="shared" si="7"/>
        <v>0.8676902972884678</v>
      </c>
      <c r="Q12" s="528">
        <v>77</v>
      </c>
      <c r="R12" s="528">
        <v>1</v>
      </c>
      <c r="S12" s="84">
        <v>3384956</v>
      </c>
      <c r="T12" s="24">
        <f t="shared" ref="T12:T23" si="13">SUM(U12:V12)</f>
        <v>3491157</v>
      </c>
      <c r="U12" s="84">
        <v>2035854</v>
      </c>
      <c r="V12" s="84">
        <v>1455303</v>
      </c>
      <c r="W12" s="135">
        <f t="shared" si="8"/>
        <v>0.41685406872277586</v>
      </c>
    </row>
    <row r="13" spans="1:220">
      <c r="A13" s="15">
        <v>2012</v>
      </c>
      <c r="B13" s="528">
        <v>11</v>
      </c>
      <c r="C13" s="528">
        <v>1.5</v>
      </c>
      <c r="D13" s="23">
        <f t="shared" si="9"/>
        <v>12.5</v>
      </c>
      <c r="E13" s="82">
        <f t="shared" si="10"/>
        <v>14</v>
      </c>
      <c r="F13" s="82">
        <f t="shared" si="11"/>
        <v>12</v>
      </c>
      <c r="G13" s="85"/>
      <c r="H13" s="85"/>
      <c r="I13" s="528">
        <v>69</v>
      </c>
      <c r="J13" s="528">
        <v>136</v>
      </c>
      <c r="K13" s="23">
        <f t="shared" si="12"/>
        <v>205</v>
      </c>
      <c r="L13" s="528">
        <v>59.34</v>
      </c>
      <c r="M13" s="82">
        <f>I13+L13</f>
        <v>128.34</v>
      </c>
      <c r="N13" s="528">
        <v>26</v>
      </c>
      <c r="O13" s="528">
        <v>152.34</v>
      </c>
      <c r="P13" s="133">
        <f t="shared" si="7"/>
        <v>0.84245766049625836</v>
      </c>
      <c r="Q13" s="528">
        <v>108</v>
      </c>
      <c r="R13" s="528">
        <v>0</v>
      </c>
      <c r="S13" s="84">
        <v>3102832</v>
      </c>
      <c r="T13" s="24">
        <f t="shared" si="13"/>
        <v>3055722</v>
      </c>
      <c r="U13" s="84">
        <v>1734316</v>
      </c>
      <c r="V13" s="84">
        <v>1321406</v>
      </c>
      <c r="W13" s="135">
        <f t="shared" si="8"/>
        <v>0.43243658945414537</v>
      </c>
    </row>
    <row r="14" spans="1:220">
      <c r="A14" s="15" t="s">
        <v>26</v>
      </c>
      <c r="B14" s="528">
        <v>11</v>
      </c>
      <c r="C14" s="528">
        <v>2.5</v>
      </c>
      <c r="D14" s="23">
        <f t="shared" si="9"/>
        <v>13.5</v>
      </c>
      <c r="E14" s="82">
        <f t="shared" si="10"/>
        <v>15</v>
      </c>
      <c r="F14" s="82">
        <f t="shared" si="11"/>
        <v>12</v>
      </c>
      <c r="G14" s="85"/>
      <c r="H14" s="85"/>
      <c r="I14" s="528">
        <v>70</v>
      </c>
      <c r="J14" s="528">
        <v>162</v>
      </c>
      <c r="K14" s="23">
        <f t="shared" si="12"/>
        <v>232</v>
      </c>
      <c r="L14" s="528">
        <v>94</v>
      </c>
      <c r="M14" s="82">
        <f t="shared" ref="M14:M23" si="14">(I14+L14)</f>
        <v>164</v>
      </c>
      <c r="N14" s="528">
        <v>45</v>
      </c>
      <c r="O14" s="528">
        <v>168</v>
      </c>
      <c r="P14" s="133">
        <f t="shared" si="7"/>
        <v>0.97619047619047616</v>
      </c>
      <c r="Q14" s="528">
        <v>112</v>
      </c>
      <c r="R14" s="528">
        <v>1</v>
      </c>
      <c r="S14" s="84">
        <v>3348771</v>
      </c>
      <c r="T14" s="24">
        <f t="shared" si="13"/>
        <v>3549279</v>
      </c>
      <c r="U14" s="84">
        <v>1725591</v>
      </c>
      <c r="V14" s="84">
        <v>1823688</v>
      </c>
      <c r="W14" s="135">
        <f t="shared" si="8"/>
        <v>0.51381928555067102</v>
      </c>
    </row>
    <row r="15" spans="1:220">
      <c r="A15" s="15" t="s">
        <v>27</v>
      </c>
      <c r="B15" s="528">
        <v>11</v>
      </c>
      <c r="C15" s="528">
        <v>2.25</v>
      </c>
      <c r="D15" s="23">
        <f t="shared" si="9"/>
        <v>13.25</v>
      </c>
      <c r="E15" s="82">
        <f t="shared" si="10"/>
        <v>18</v>
      </c>
      <c r="F15" s="82">
        <f t="shared" si="11"/>
        <v>15</v>
      </c>
      <c r="G15" s="85"/>
      <c r="H15" s="85"/>
      <c r="I15" s="528">
        <v>94</v>
      </c>
      <c r="J15" s="528">
        <v>170</v>
      </c>
      <c r="K15" s="23">
        <f t="shared" si="12"/>
        <v>264</v>
      </c>
      <c r="L15" s="528">
        <v>97.49</v>
      </c>
      <c r="M15" s="82">
        <f t="shared" si="14"/>
        <v>191.49</v>
      </c>
      <c r="N15" s="528">
        <v>44</v>
      </c>
      <c r="O15" s="528">
        <v>196.25</v>
      </c>
      <c r="P15" s="133">
        <f t="shared" si="7"/>
        <v>0.97574522292993637</v>
      </c>
      <c r="Q15" s="528">
        <v>122</v>
      </c>
      <c r="R15" s="528">
        <v>1</v>
      </c>
      <c r="S15" s="84">
        <v>3446765.4621919999</v>
      </c>
      <c r="T15" s="24">
        <f t="shared" si="13"/>
        <v>3844142</v>
      </c>
      <c r="U15" s="84">
        <v>1622528</v>
      </c>
      <c r="V15" s="84">
        <v>2221614</v>
      </c>
      <c r="W15" s="135">
        <f t="shared" si="8"/>
        <v>0.57792193940806558</v>
      </c>
    </row>
    <row r="16" spans="1:220">
      <c r="A16" s="15" t="s">
        <v>28</v>
      </c>
      <c r="B16" s="528">
        <v>11</v>
      </c>
      <c r="C16" s="528">
        <v>2.75</v>
      </c>
      <c r="D16" s="23">
        <f t="shared" si="9"/>
        <v>13.75</v>
      </c>
      <c r="E16" s="82">
        <f t="shared" si="10"/>
        <v>19</v>
      </c>
      <c r="F16" s="82">
        <f t="shared" si="11"/>
        <v>15</v>
      </c>
      <c r="G16" s="85"/>
      <c r="H16" s="85"/>
      <c r="I16" s="528">
        <v>109</v>
      </c>
      <c r="J16" s="528">
        <v>186</v>
      </c>
      <c r="K16" s="23">
        <f t="shared" si="12"/>
        <v>295</v>
      </c>
      <c r="L16" s="528">
        <v>88.21</v>
      </c>
      <c r="M16" s="82">
        <f t="shared" si="14"/>
        <v>197.20999999999998</v>
      </c>
      <c r="N16" s="528">
        <v>65</v>
      </c>
      <c r="O16" s="528">
        <v>205.09</v>
      </c>
      <c r="P16" s="133">
        <f t="shared" si="7"/>
        <v>0.96157784387342127</v>
      </c>
      <c r="Q16" s="528">
        <v>120</v>
      </c>
      <c r="R16" s="528">
        <v>0</v>
      </c>
      <c r="S16" s="84">
        <v>3009485.16</v>
      </c>
      <c r="T16" s="24">
        <f t="shared" si="13"/>
        <v>3619942</v>
      </c>
      <c r="U16" s="84">
        <v>1812997</v>
      </c>
      <c r="V16" s="84">
        <v>1806945</v>
      </c>
      <c r="W16" s="135">
        <f t="shared" si="8"/>
        <v>0.49916407500451665</v>
      </c>
    </row>
    <row r="17" spans="1:24">
      <c r="A17" s="15" t="s">
        <v>29</v>
      </c>
      <c r="B17" s="528">
        <v>11</v>
      </c>
      <c r="C17" s="528">
        <v>2.5</v>
      </c>
      <c r="D17" s="23">
        <f t="shared" si="9"/>
        <v>13.5</v>
      </c>
      <c r="E17" s="82">
        <f t="shared" si="10"/>
        <v>18</v>
      </c>
      <c r="F17" s="82">
        <f t="shared" si="11"/>
        <v>15</v>
      </c>
      <c r="G17" s="85"/>
      <c r="H17" s="85"/>
      <c r="I17" s="528">
        <v>96</v>
      </c>
      <c r="J17" s="528">
        <v>197</v>
      </c>
      <c r="K17" s="23">
        <f t="shared" si="12"/>
        <v>293</v>
      </c>
      <c r="L17" s="528">
        <v>96.66</v>
      </c>
      <c r="M17" s="82">
        <f t="shared" si="14"/>
        <v>192.66</v>
      </c>
      <c r="N17" s="528">
        <v>62</v>
      </c>
      <c r="O17" s="528">
        <v>197</v>
      </c>
      <c r="P17" s="133">
        <f t="shared" si="7"/>
        <v>0.97796954314720808</v>
      </c>
      <c r="Q17" s="528">
        <v>134</v>
      </c>
      <c r="R17" s="528">
        <v>0</v>
      </c>
      <c r="S17" s="84">
        <v>2834130.64</v>
      </c>
      <c r="T17" s="24">
        <f t="shared" si="13"/>
        <v>3175450.71</v>
      </c>
      <c r="U17" s="84">
        <v>1906366.71</v>
      </c>
      <c r="V17" s="84">
        <v>1269084</v>
      </c>
      <c r="W17" s="135">
        <f t="shared" si="8"/>
        <v>0.39965476270925965</v>
      </c>
    </row>
    <row r="18" spans="1:24">
      <c r="A18" s="15">
        <v>2007</v>
      </c>
      <c r="B18" s="528">
        <v>10</v>
      </c>
      <c r="C18" s="528">
        <v>3.75</v>
      </c>
      <c r="D18" s="82">
        <f t="shared" si="9"/>
        <v>13.75</v>
      </c>
      <c r="E18" s="82">
        <f t="shared" si="10"/>
        <v>22</v>
      </c>
      <c r="F18" s="82">
        <f t="shared" si="11"/>
        <v>16</v>
      </c>
      <c r="G18" s="85"/>
      <c r="H18" s="85"/>
      <c r="I18" s="528">
        <v>127</v>
      </c>
      <c r="J18" s="528">
        <v>167</v>
      </c>
      <c r="K18" s="23">
        <f t="shared" si="12"/>
        <v>294</v>
      </c>
      <c r="L18" s="147">
        <v>88.956999999999994</v>
      </c>
      <c r="M18" s="82">
        <f t="shared" si="14"/>
        <v>215.95699999999999</v>
      </c>
      <c r="N18" s="528">
        <v>56</v>
      </c>
      <c r="O18" s="528">
        <v>218</v>
      </c>
      <c r="P18" s="133">
        <f t="shared" si="7"/>
        <v>0.9906284403669724</v>
      </c>
      <c r="Q18" s="528">
        <v>122</v>
      </c>
      <c r="R18" s="528">
        <v>1</v>
      </c>
      <c r="S18" s="132">
        <v>2250323</v>
      </c>
      <c r="T18" s="24">
        <f t="shared" si="13"/>
        <v>2994957</v>
      </c>
      <c r="U18" s="148">
        <v>1709505</v>
      </c>
      <c r="V18" s="132">
        <v>1285452</v>
      </c>
      <c r="W18" s="135">
        <f t="shared" si="8"/>
        <v>0.42920549443614714</v>
      </c>
      <c r="X18" s="59"/>
    </row>
    <row r="19" spans="1:24">
      <c r="A19" s="15">
        <v>2006</v>
      </c>
      <c r="B19" s="528">
        <v>9</v>
      </c>
      <c r="C19" s="528">
        <v>3</v>
      </c>
      <c r="D19" s="82">
        <f t="shared" si="9"/>
        <v>12</v>
      </c>
      <c r="E19" s="82">
        <f t="shared" si="10"/>
        <v>22</v>
      </c>
      <c r="F19" s="82">
        <f t="shared" si="11"/>
        <v>17</v>
      </c>
      <c r="G19" s="85"/>
      <c r="H19" s="85"/>
      <c r="I19" s="528">
        <v>117</v>
      </c>
      <c r="J19" s="528">
        <v>182</v>
      </c>
      <c r="K19" s="23">
        <f t="shared" si="12"/>
        <v>299</v>
      </c>
      <c r="L19" s="528">
        <v>82</v>
      </c>
      <c r="M19" s="82">
        <f t="shared" si="14"/>
        <v>199</v>
      </c>
      <c r="N19" s="528">
        <v>50</v>
      </c>
      <c r="O19" s="528">
        <v>202</v>
      </c>
      <c r="P19" s="133">
        <f t="shared" si="7"/>
        <v>0.98514851485148514</v>
      </c>
      <c r="Q19" s="528">
        <v>98</v>
      </c>
      <c r="R19" s="528">
        <v>0</v>
      </c>
      <c r="S19" s="132">
        <v>1747675</v>
      </c>
      <c r="T19" s="24">
        <f t="shared" si="13"/>
        <v>1876873</v>
      </c>
      <c r="U19" s="132">
        <v>1291554</v>
      </c>
      <c r="V19" s="132">
        <v>585319</v>
      </c>
      <c r="W19" s="135">
        <f t="shared" si="8"/>
        <v>0.31185860737513937</v>
      </c>
    </row>
    <row r="20" spans="1:24">
      <c r="A20" s="15">
        <v>2005</v>
      </c>
      <c r="B20" s="528">
        <v>8</v>
      </c>
      <c r="C20" s="528">
        <v>1.75</v>
      </c>
      <c r="D20" s="82">
        <f t="shared" si="9"/>
        <v>9.75</v>
      </c>
      <c r="E20" s="82">
        <f t="shared" si="10"/>
        <v>21</v>
      </c>
      <c r="F20" s="82">
        <f t="shared" si="11"/>
        <v>17</v>
      </c>
      <c r="G20" s="85"/>
      <c r="H20" s="85"/>
      <c r="I20" s="528">
        <v>94</v>
      </c>
      <c r="J20" s="528">
        <v>165</v>
      </c>
      <c r="K20" s="23">
        <f t="shared" si="12"/>
        <v>259</v>
      </c>
      <c r="L20" s="528">
        <v>67</v>
      </c>
      <c r="M20" s="82">
        <f t="shared" si="14"/>
        <v>161</v>
      </c>
      <c r="N20" s="528">
        <v>50</v>
      </c>
      <c r="O20" s="528">
        <v>164.55</v>
      </c>
      <c r="P20" s="133">
        <f t="shared" si="7"/>
        <v>0.97842601033120624</v>
      </c>
      <c r="Q20" s="528">
        <v>93</v>
      </c>
      <c r="R20" s="528">
        <v>0</v>
      </c>
      <c r="S20" s="132">
        <v>1543289</v>
      </c>
      <c r="T20" s="24">
        <f t="shared" si="13"/>
        <v>1564356</v>
      </c>
      <c r="U20" s="132">
        <v>1082572</v>
      </c>
      <c r="V20" s="132">
        <v>481784</v>
      </c>
      <c r="W20" s="135">
        <f t="shared" si="8"/>
        <v>0.30797593386671573</v>
      </c>
    </row>
    <row r="21" spans="1:24">
      <c r="A21" s="15">
        <v>2004</v>
      </c>
      <c r="B21" s="528">
        <v>9</v>
      </c>
      <c r="C21" s="528">
        <v>0.75</v>
      </c>
      <c r="D21" s="82">
        <f t="shared" si="9"/>
        <v>9.75</v>
      </c>
      <c r="E21" s="82">
        <f t="shared" si="10"/>
        <v>21</v>
      </c>
      <c r="F21" s="82">
        <f t="shared" si="11"/>
        <v>20</v>
      </c>
      <c r="G21" s="85"/>
      <c r="H21" s="85"/>
      <c r="I21" s="528">
        <v>42</v>
      </c>
      <c r="J21" s="528">
        <v>210</v>
      </c>
      <c r="K21" s="23">
        <f t="shared" si="12"/>
        <v>252</v>
      </c>
      <c r="L21" s="528">
        <v>146</v>
      </c>
      <c r="M21" s="82">
        <f t="shared" si="14"/>
        <v>188</v>
      </c>
      <c r="N21" s="528">
        <v>52</v>
      </c>
      <c r="O21" s="528">
        <v>192.45</v>
      </c>
      <c r="P21" s="133">
        <f t="shared" si="7"/>
        <v>0.97687711093790597</v>
      </c>
      <c r="Q21" s="528">
        <v>251</v>
      </c>
      <c r="R21" s="528">
        <v>9</v>
      </c>
      <c r="S21" s="132">
        <v>1433235.29</v>
      </c>
      <c r="T21" s="24">
        <f t="shared" si="13"/>
        <v>1440109.92</v>
      </c>
      <c r="U21" s="132">
        <v>611364.43999999994</v>
      </c>
      <c r="V21" s="132">
        <v>828745.48</v>
      </c>
      <c r="W21" s="135">
        <f t="shared" si="8"/>
        <v>0.57547376661359295</v>
      </c>
    </row>
    <row r="22" spans="1:24">
      <c r="A22" s="15">
        <v>2003</v>
      </c>
      <c r="B22" s="528">
        <v>9</v>
      </c>
      <c r="C22" s="528">
        <v>1</v>
      </c>
      <c r="D22" s="23">
        <f t="shared" si="9"/>
        <v>10</v>
      </c>
      <c r="E22" s="82">
        <f t="shared" si="10"/>
        <v>19</v>
      </c>
      <c r="F22" s="82">
        <f t="shared" si="11"/>
        <v>17</v>
      </c>
      <c r="G22" s="85"/>
      <c r="H22" s="85"/>
      <c r="I22" s="528">
        <v>85</v>
      </c>
      <c r="J22" s="528">
        <v>112</v>
      </c>
      <c r="K22" s="23">
        <f t="shared" si="12"/>
        <v>197</v>
      </c>
      <c r="L22" s="528">
        <v>55</v>
      </c>
      <c r="M22" s="82">
        <f t="shared" si="14"/>
        <v>140</v>
      </c>
      <c r="N22" s="528">
        <v>39</v>
      </c>
      <c r="O22" s="528">
        <v>169</v>
      </c>
      <c r="P22" s="133">
        <f t="shared" si="7"/>
        <v>0.82840236686390534</v>
      </c>
      <c r="Q22" s="528">
        <v>86</v>
      </c>
      <c r="R22" s="528">
        <v>0</v>
      </c>
      <c r="S22" s="132">
        <v>1419974</v>
      </c>
      <c r="T22" s="24">
        <f t="shared" si="13"/>
        <v>1483292</v>
      </c>
      <c r="U22" s="132">
        <v>719103</v>
      </c>
      <c r="V22" s="132">
        <v>764189</v>
      </c>
      <c r="W22" s="135">
        <f t="shared" si="8"/>
        <v>0.51519795158337001</v>
      </c>
    </row>
    <row r="23" spans="1:24" ht="22.5" customHeight="1">
      <c r="A23" s="15">
        <v>2002</v>
      </c>
      <c r="B23" s="528">
        <v>6</v>
      </c>
      <c r="C23" s="528">
        <v>1.25</v>
      </c>
      <c r="D23" s="23">
        <f t="shared" si="9"/>
        <v>7.25</v>
      </c>
      <c r="E23" s="82">
        <f t="shared" si="10"/>
        <v>24</v>
      </c>
      <c r="F23" s="82">
        <f t="shared" si="11"/>
        <v>20</v>
      </c>
      <c r="G23" s="85"/>
      <c r="H23" s="85"/>
      <c r="I23" s="528">
        <v>77</v>
      </c>
      <c r="J23" s="528">
        <v>114</v>
      </c>
      <c r="K23" s="23">
        <f t="shared" si="12"/>
        <v>191</v>
      </c>
      <c r="L23" s="528">
        <f>ROUND(62.67, 0)</f>
        <v>63</v>
      </c>
      <c r="M23" s="82">
        <f t="shared" si="14"/>
        <v>140</v>
      </c>
      <c r="N23" s="528">
        <v>36</v>
      </c>
      <c r="O23" s="528">
        <f>ROUND(142.01, 0)</f>
        <v>142</v>
      </c>
      <c r="P23" s="133">
        <f t="shared" si="7"/>
        <v>0.9859154929577465</v>
      </c>
      <c r="Q23" s="528">
        <v>42</v>
      </c>
      <c r="R23" s="528">
        <v>0</v>
      </c>
      <c r="S23" s="132">
        <v>1336828</v>
      </c>
      <c r="T23" s="24">
        <f t="shared" si="13"/>
        <v>1553748</v>
      </c>
      <c r="U23" s="132">
        <v>839330</v>
      </c>
      <c r="V23" s="132">
        <v>714418</v>
      </c>
      <c r="W23" s="135">
        <f t="shared" si="8"/>
        <v>0.45980300537796348</v>
      </c>
    </row>
    <row r="24" spans="1:24" ht="21.75" customHeight="1">
      <c r="A24" s="540" t="s">
        <v>43</v>
      </c>
      <c r="B24" s="541"/>
      <c r="C24" s="541"/>
      <c r="D24" s="541"/>
      <c r="E24" s="541"/>
      <c r="F24" s="541"/>
      <c r="G24" s="541"/>
      <c r="H24" s="541"/>
      <c r="I24" s="541"/>
      <c r="J24" s="541"/>
      <c r="K24" s="541"/>
      <c r="L24" s="541"/>
      <c r="M24" s="541"/>
      <c r="N24" s="541"/>
      <c r="O24" s="541"/>
      <c r="P24" s="541"/>
      <c r="Q24" s="541"/>
      <c r="R24" s="541"/>
      <c r="S24" s="541"/>
      <c r="T24" s="541"/>
      <c r="U24" s="541"/>
      <c r="V24" s="541"/>
      <c r="W24" s="542"/>
    </row>
    <row r="25" spans="1:24">
      <c r="A25" s="543" t="s">
        <v>44</v>
      </c>
      <c r="B25" s="544"/>
      <c r="C25" s="544"/>
      <c r="D25" s="544"/>
      <c r="E25" s="544"/>
      <c r="F25" s="544"/>
      <c r="G25" s="544"/>
      <c r="H25" s="544"/>
      <c r="I25" s="544"/>
      <c r="J25" s="544"/>
      <c r="K25" s="544"/>
      <c r="L25" s="544"/>
      <c r="M25" s="544"/>
      <c r="N25" s="544"/>
      <c r="O25" s="544"/>
      <c r="P25" s="544"/>
      <c r="Q25" s="544"/>
      <c r="R25" s="544"/>
      <c r="S25" s="544"/>
      <c r="T25" s="544"/>
      <c r="U25" s="544"/>
      <c r="V25" s="544"/>
      <c r="W25" s="545"/>
    </row>
    <row r="26" spans="1:24" s="12" customFormat="1">
      <c r="A26" s="539" t="s">
        <v>45</v>
      </c>
      <c r="B26" s="538"/>
      <c r="C26" s="538"/>
      <c r="D26" s="538"/>
      <c r="E26" s="538"/>
      <c r="F26" s="538"/>
      <c r="G26" s="538"/>
      <c r="H26" s="538"/>
      <c r="I26" s="538"/>
      <c r="J26" s="538"/>
      <c r="K26" s="538"/>
      <c r="L26" s="538"/>
      <c r="M26" s="538"/>
      <c r="N26" s="538"/>
      <c r="O26" s="538"/>
      <c r="P26" s="538"/>
      <c r="Q26" s="538"/>
      <c r="R26" s="538"/>
      <c r="S26" s="538"/>
      <c r="T26" s="538"/>
      <c r="U26" s="538"/>
      <c r="V26" s="538"/>
      <c r="W26" s="538"/>
    </row>
    <row r="27" spans="1:24" s="12" customFormat="1">
      <c r="A27" s="538"/>
      <c r="B27" s="538"/>
      <c r="C27" s="538"/>
      <c r="D27" s="538"/>
      <c r="E27" s="538"/>
      <c r="F27" s="538"/>
      <c r="G27" s="538"/>
      <c r="H27" s="538"/>
      <c r="I27" s="538"/>
      <c r="J27" s="538"/>
      <c r="K27" s="538"/>
      <c r="L27" s="538"/>
      <c r="M27" s="538"/>
      <c r="N27" s="538"/>
      <c r="O27" s="538"/>
      <c r="P27" s="538"/>
      <c r="Q27" s="538"/>
      <c r="R27" s="538"/>
      <c r="S27" s="538"/>
      <c r="T27" s="538"/>
      <c r="U27" s="538"/>
      <c r="V27" s="538"/>
      <c r="W27" s="538"/>
    </row>
    <row r="28" spans="1:24" s="12" customFormat="1"/>
    <row r="29" spans="1:24" s="12" customFormat="1"/>
    <row r="30" spans="1:24" s="12" customFormat="1"/>
    <row r="31" spans="1:24" s="12" customFormat="1"/>
    <row r="32" spans="1:24" s="12" customFormat="1"/>
    <row r="33" s="12" customFormat="1"/>
    <row r="34" s="12" customFormat="1"/>
  </sheetData>
  <mergeCells count="3">
    <mergeCell ref="A24:W24"/>
    <mergeCell ref="A25:W25"/>
    <mergeCell ref="A26:W27"/>
  </mergeCells>
  <printOptions headings="1" gridLines="1"/>
  <pageMargins left="0.5" right="0.5" top="0.5" bottom="0.5" header="0" footer="0"/>
  <pageSetup paperSize="5" scale="66" orientation="landscape" horizontalDpi="1200" verticalDpi="1200"/>
  <legacyDrawing r:id="rId1"/>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HL15"/>
  <sheetViews>
    <sheetView workbookViewId="0">
      <selection activeCell="R19" sqref="R19"/>
    </sheetView>
  </sheetViews>
  <sheetFormatPr defaultColWidth="8.85546875" defaultRowHeight="15"/>
  <cols>
    <col min="1" max="1" width="10.7109375" customWidth="1"/>
    <col min="2" max="2" width="9.85546875" customWidth="1"/>
    <col min="3" max="3" width="10" customWidth="1"/>
    <col min="4" max="4" width="10.42578125" customWidth="1"/>
    <col min="5" max="5" width="11.42578125" customWidth="1"/>
    <col min="6" max="6" width="10.85546875" customWidth="1"/>
    <col min="7" max="7" width="10.42578125" customWidth="1"/>
    <col min="8" max="8" width="11.42578125" customWidth="1"/>
    <col min="9" max="9" width="12" customWidth="1"/>
    <col min="10" max="10" width="11.42578125" customWidth="1"/>
    <col min="11" max="11" width="11.85546875" customWidth="1"/>
    <col min="12" max="12" width="12" customWidth="1"/>
    <col min="13" max="13" width="12.42578125" customWidth="1"/>
    <col min="14" max="14" width="12.7109375" customWidth="1"/>
    <col min="15" max="15" width="11.42578125" customWidth="1"/>
    <col min="16" max="16" width="14" customWidth="1"/>
    <col min="17" max="17" width="11.140625" customWidth="1"/>
    <col min="18" max="18" width="10.28515625" customWidth="1"/>
    <col min="19" max="19" width="12" customWidth="1"/>
    <col min="20" max="20" width="11.28515625" customWidth="1"/>
    <col min="21" max="21" width="11.85546875" customWidth="1"/>
    <col min="22" max="22" width="12.140625" customWidth="1"/>
    <col min="23" max="23" width="12.42578125" customWidth="1"/>
  </cols>
  <sheetData>
    <row r="1" spans="1:220" ht="18.75">
      <c r="A1" s="1" t="s">
        <v>198</v>
      </c>
      <c r="B1" s="2"/>
      <c r="C1" s="1"/>
      <c r="D1" s="1"/>
      <c r="E1" s="1"/>
      <c r="F1" s="1"/>
      <c r="G1" s="1"/>
      <c r="H1" s="1"/>
      <c r="I1" s="1"/>
      <c r="J1" s="1"/>
      <c r="K1" s="1"/>
      <c r="L1" s="1"/>
      <c r="M1" s="1"/>
      <c r="N1" s="1"/>
      <c r="O1" s="1"/>
      <c r="P1" s="1"/>
      <c r="Q1" s="1"/>
      <c r="R1" s="1"/>
      <c r="S1" s="1"/>
      <c r="T1" s="1"/>
      <c r="U1" s="1"/>
      <c r="V1" s="1"/>
      <c r="W1" s="1"/>
    </row>
    <row r="2" spans="1:220" ht="79.5" customHeight="1">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c r="A3" s="105">
        <v>2022</v>
      </c>
      <c r="B3" s="66">
        <v>2</v>
      </c>
      <c r="C3" s="66">
        <v>5</v>
      </c>
      <c r="D3" s="65">
        <f t="shared" ref="D3" si="0">SUM(B3:C3)</f>
        <v>7</v>
      </c>
      <c r="E3" s="13">
        <f>ROUND((O3/B3), 0)</f>
        <v>22</v>
      </c>
      <c r="F3" s="13">
        <f t="shared" ref="F3" si="1">ROUND((O3/D3), 0)</f>
        <v>6</v>
      </c>
      <c r="G3" s="66">
        <v>2</v>
      </c>
      <c r="H3" s="66">
        <v>5</v>
      </c>
      <c r="I3" s="66">
        <v>42</v>
      </c>
      <c r="J3" s="66">
        <v>4</v>
      </c>
      <c r="K3" s="65">
        <f t="shared" ref="K3" si="2">SUM(I3:J3)</f>
        <v>46</v>
      </c>
      <c r="L3" s="66">
        <v>2</v>
      </c>
      <c r="M3" s="13">
        <f t="shared" ref="M3" si="3">(I3+L3)</f>
        <v>44</v>
      </c>
      <c r="N3" s="66">
        <v>34</v>
      </c>
      <c r="O3" s="66">
        <v>44</v>
      </c>
      <c r="P3" s="134">
        <f t="shared" ref="P3" si="4">M3/O3</f>
        <v>1</v>
      </c>
      <c r="Q3" s="66">
        <v>49</v>
      </c>
      <c r="R3" s="66">
        <v>0</v>
      </c>
      <c r="S3" s="415">
        <v>3382962.01</v>
      </c>
      <c r="T3" s="68">
        <f t="shared" ref="T3" si="5">SUM(U3:V3)</f>
        <v>3594066.25</v>
      </c>
      <c r="U3" s="326">
        <v>3594066.25</v>
      </c>
      <c r="V3" s="326">
        <v>0</v>
      </c>
      <c r="W3" s="135">
        <f t="shared" ref="W3" si="6">V3/T3</f>
        <v>0</v>
      </c>
    </row>
    <row r="4" spans="1:220">
      <c r="A4" s="105">
        <v>2021</v>
      </c>
      <c r="B4" s="66">
        <v>4</v>
      </c>
      <c r="C4" s="66">
        <v>5.33</v>
      </c>
      <c r="D4" s="65">
        <f>SUM(B4:C4)</f>
        <v>9.33</v>
      </c>
      <c r="E4" s="13">
        <f>ROUND((O4/B4), 0)</f>
        <v>17</v>
      </c>
      <c r="F4" s="13">
        <f t="shared" ref="F4" si="7">ROUND((O4/D4), 0)</f>
        <v>7</v>
      </c>
      <c r="G4" s="66">
        <v>4</v>
      </c>
      <c r="H4" s="66">
        <v>5.33</v>
      </c>
      <c r="I4" s="66">
        <v>61</v>
      </c>
      <c r="J4" s="66">
        <v>9</v>
      </c>
      <c r="K4" s="65">
        <f t="shared" ref="K4" si="8">SUM(I4:J4)</f>
        <v>70</v>
      </c>
      <c r="L4" s="66">
        <v>6.3125</v>
      </c>
      <c r="M4" s="13">
        <f>(I4+L4)</f>
        <v>67.3125</v>
      </c>
      <c r="N4" s="66">
        <v>40</v>
      </c>
      <c r="O4" s="66">
        <v>67</v>
      </c>
      <c r="P4" s="134">
        <f t="shared" ref="P4" si="9">M4/O4</f>
        <v>1.0046641791044777</v>
      </c>
      <c r="Q4" s="66">
        <v>43</v>
      </c>
      <c r="R4" s="66">
        <v>0</v>
      </c>
      <c r="S4" s="415">
        <v>3444916</v>
      </c>
      <c r="T4" s="68">
        <f t="shared" ref="T4" si="10">SUM(U4:V4)</f>
        <v>3711874</v>
      </c>
      <c r="U4" s="326">
        <v>3627925</v>
      </c>
      <c r="V4" s="326">
        <v>83949</v>
      </c>
      <c r="W4" s="135">
        <f t="shared" ref="W4" si="11">V4/T4</f>
        <v>2.261633880891431E-2</v>
      </c>
    </row>
    <row r="5" spans="1:220">
      <c r="A5" s="105">
        <v>2020</v>
      </c>
      <c r="B5" s="66">
        <v>4</v>
      </c>
      <c r="C5" s="66">
        <v>5</v>
      </c>
      <c r="D5" s="65">
        <f>SUM(B5:C5)</f>
        <v>9</v>
      </c>
      <c r="E5" s="13">
        <f>ROUND((O5/B5), 0)</f>
        <v>21</v>
      </c>
      <c r="F5" s="13">
        <f>ROUND((O5/D5), 0)</f>
        <v>9</v>
      </c>
      <c r="G5" s="66">
        <v>4</v>
      </c>
      <c r="H5" s="66">
        <v>5</v>
      </c>
      <c r="I5" s="66">
        <v>79</v>
      </c>
      <c r="J5" s="66">
        <v>9</v>
      </c>
      <c r="K5" s="65">
        <f t="shared" ref="K5" si="12">SUM(I5:J5)</f>
        <v>88</v>
      </c>
      <c r="L5" s="66">
        <v>5.375</v>
      </c>
      <c r="M5" s="13">
        <f>(I5+L5)</f>
        <v>84.375</v>
      </c>
      <c r="N5" s="66">
        <v>52</v>
      </c>
      <c r="O5" s="66">
        <v>84</v>
      </c>
      <c r="P5" s="134">
        <f t="shared" ref="P5" si="13">M5/O5</f>
        <v>1.0044642857142858</v>
      </c>
      <c r="Q5" s="66">
        <v>34</v>
      </c>
      <c r="R5" s="66">
        <v>0</v>
      </c>
      <c r="S5" s="415">
        <v>3148845</v>
      </c>
      <c r="T5" s="68">
        <f>SUM(U5:V5)</f>
        <v>3688749</v>
      </c>
      <c r="U5" s="326">
        <v>3288749</v>
      </c>
      <c r="V5" s="326">
        <v>400000</v>
      </c>
      <c r="W5" s="135">
        <f t="shared" ref="W5" si="14">V5/T5</f>
        <v>0.10843784708582774</v>
      </c>
    </row>
    <row r="6" spans="1:220" s="16" customFormat="1">
      <c r="A6" s="105">
        <v>2019</v>
      </c>
      <c r="B6" s="66">
        <v>4</v>
      </c>
      <c r="C6" s="66">
        <v>16</v>
      </c>
      <c r="D6" s="65">
        <f>SUM(B6:C6)</f>
        <v>20</v>
      </c>
      <c r="E6" s="13">
        <f>ROUND((O6/B6), 0)</f>
        <v>17</v>
      </c>
      <c r="F6" s="13">
        <f>ROUND((O6/D6), 0)</f>
        <v>3</v>
      </c>
      <c r="G6" s="66">
        <v>4</v>
      </c>
      <c r="H6" s="66">
        <v>16</v>
      </c>
      <c r="I6" s="66">
        <v>62</v>
      </c>
      <c r="J6" s="66">
        <v>12</v>
      </c>
      <c r="K6" s="65">
        <f t="shared" ref="K6" si="15">SUM(I6:J6)</f>
        <v>74</v>
      </c>
      <c r="L6" s="66">
        <v>7</v>
      </c>
      <c r="M6" s="13">
        <f>(I6+L6)</f>
        <v>69</v>
      </c>
      <c r="N6" s="66">
        <v>43</v>
      </c>
      <c r="O6" s="66">
        <v>69</v>
      </c>
      <c r="P6" s="134">
        <f t="shared" ref="P6" si="16">M6/O6</f>
        <v>1</v>
      </c>
      <c r="Q6" s="66">
        <v>48</v>
      </c>
      <c r="R6" s="66">
        <v>1</v>
      </c>
      <c r="S6" s="415">
        <v>2839059</v>
      </c>
      <c r="T6" s="68">
        <f>SUM(U6:V6)</f>
        <v>2876561</v>
      </c>
      <c r="U6" s="326">
        <v>1252281</v>
      </c>
      <c r="V6" s="326">
        <v>1624280</v>
      </c>
      <c r="W6" s="135">
        <f t="shared" ref="W6" si="17">V6/T6</f>
        <v>0.56466037049101336</v>
      </c>
    </row>
    <row r="7" spans="1:220" s="14" customFormat="1">
      <c r="A7" s="10">
        <v>2018</v>
      </c>
      <c r="B7" s="255">
        <v>4</v>
      </c>
      <c r="C7" s="17">
        <v>5</v>
      </c>
      <c r="D7" s="23">
        <f>SUM(B7:C7)</f>
        <v>9</v>
      </c>
      <c r="E7" s="82">
        <f>ROUND((O7/B7), 0)</f>
        <v>23</v>
      </c>
      <c r="F7" s="82">
        <f>ROUND((O7/D7), 0)</f>
        <v>10</v>
      </c>
      <c r="G7" s="17">
        <v>4</v>
      </c>
      <c r="H7" s="17">
        <v>5</v>
      </c>
      <c r="I7" s="17">
        <v>81</v>
      </c>
      <c r="J7" s="17">
        <v>11</v>
      </c>
      <c r="K7" s="23">
        <f t="shared" ref="K7" si="18">SUM(I7:J7)</f>
        <v>92</v>
      </c>
      <c r="L7" s="17">
        <v>7.75</v>
      </c>
      <c r="M7" s="82">
        <f>(I7+L7)</f>
        <v>88.75</v>
      </c>
      <c r="N7" s="17">
        <v>47</v>
      </c>
      <c r="O7" s="17">
        <v>91</v>
      </c>
      <c r="P7" s="133">
        <f t="shared" ref="P7" si="19">M7/O7</f>
        <v>0.97527472527472525</v>
      </c>
      <c r="Q7" s="17">
        <v>22</v>
      </c>
      <c r="R7" s="17">
        <v>0</v>
      </c>
      <c r="S7" s="20">
        <f>824475+388026+182760+1646488</f>
        <v>3041749</v>
      </c>
      <c r="T7" s="24">
        <f>SUM(U7:V7)</f>
        <v>3118146</v>
      </c>
      <c r="U7" s="20">
        <v>2744146</v>
      </c>
      <c r="V7" s="20">
        <v>374000</v>
      </c>
      <c r="W7" s="135">
        <f t="shared" ref="W7" si="20">V7/T7</f>
        <v>0.11994306873379246</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c r="A8" s="10">
        <v>2017</v>
      </c>
      <c r="B8" s="12">
        <v>4</v>
      </c>
      <c r="C8" s="17">
        <v>3.67</v>
      </c>
      <c r="D8" s="27">
        <f>SUM(B8:C8)</f>
        <v>7.67</v>
      </c>
      <c r="E8" s="27">
        <f>ROUND((O8/B7), 0)</f>
        <v>18</v>
      </c>
      <c r="F8" s="27">
        <f>ROUND((O8/D8), 0)</f>
        <v>9</v>
      </c>
      <c r="G8" s="17">
        <v>4</v>
      </c>
      <c r="H8" s="17">
        <v>3.67</v>
      </c>
      <c r="I8" s="17">
        <v>66</v>
      </c>
      <c r="J8" s="17">
        <v>7</v>
      </c>
      <c r="K8" s="27">
        <f>SUM(I8:J8)</f>
        <v>73</v>
      </c>
      <c r="L8" s="17">
        <v>4</v>
      </c>
      <c r="M8" s="29">
        <f>(I8+L8)</f>
        <v>70</v>
      </c>
      <c r="N8" s="255">
        <v>39</v>
      </c>
      <c r="O8" s="255">
        <v>70</v>
      </c>
      <c r="P8" s="133">
        <f>M8/O8</f>
        <v>1</v>
      </c>
      <c r="Q8" s="17">
        <v>24</v>
      </c>
      <c r="R8" s="17">
        <v>0</v>
      </c>
      <c r="S8" s="223">
        <v>2299528</v>
      </c>
      <c r="T8" s="28">
        <f>SUM(U8:V8)</f>
        <v>2175161</v>
      </c>
      <c r="U8" s="252">
        <v>1815161</v>
      </c>
      <c r="V8" s="20">
        <v>360000</v>
      </c>
      <c r="W8" s="135">
        <f>V8/T8</f>
        <v>0.16550499020532272</v>
      </c>
    </row>
    <row r="9" spans="1:220">
      <c r="A9" s="10">
        <v>2016</v>
      </c>
      <c r="B9" s="54">
        <v>4</v>
      </c>
      <c r="C9" s="54">
        <v>2.67</v>
      </c>
      <c r="D9" s="65">
        <f>B9+C9</f>
        <v>6.67</v>
      </c>
      <c r="E9" s="13">
        <f>ROUND((O9/B9), 0)</f>
        <v>11</v>
      </c>
      <c r="F9" s="13">
        <f>ROUND((O9/D9), 0)</f>
        <v>7</v>
      </c>
      <c r="G9" s="54">
        <v>4</v>
      </c>
      <c r="H9" s="54">
        <v>2.67</v>
      </c>
      <c r="I9" s="54">
        <v>42</v>
      </c>
      <c r="J9" s="54">
        <v>5</v>
      </c>
      <c r="K9" s="65">
        <f>I9+J9</f>
        <v>47</v>
      </c>
      <c r="L9" s="54">
        <v>3.125</v>
      </c>
      <c r="M9" s="13">
        <f>I9+L9</f>
        <v>45.125</v>
      </c>
      <c r="N9" s="54">
        <v>19</v>
      </c>
      <c r="O9" s="54">
        <v>45</v>
      </c>
      <c r="P9" s="133">
        <f>M9/O9</f>
        <v>1.0027777777777778</v>
      </c>
      <c r="Q9" s="54">
        <v>17</v>
      </c>
      <c r="R9" s="54">
        <v>0</v>
      </c>
      <c r="S9" s="102">
        <v>1824682</v>
      </c>
      <c r="T9" s="103">
        <f>SUM(U9:V9)</f>
        <v>1842040</v>
      </c>
      <c r="U9" s="102">
        <v>1778861</v>
      </c>
      <c r="V9" s="102">
        <v>63179</v>
      </c>
      <c r="W9" s="135">
        <f>V9/T9</f>
        <v>3.4298386571409961E-2</v>
      </c>
    </row>
    <row r="10" spans="1:220">
      <c r="A10" s="57">
        <v>2015</v>
      </c>
      <c r="B10" s="70">
        <v>4</v>
      </c>
      <c r="C10" s="70">
        <v>1.8</v>
      </c>
      <c r="D10" s="65">
        <v>5.8</v>
      </c>
      <c r="E10" s="65">
        <v>12.3</v>
      </c>
      <c r="F10" s="65">
        <v>8.5</v>
      </c>
      <c r="G10" s="83"/>
      <c r="H10" s="83"/>
      <c r="I10" s="70">
        <v>46</v>
      </c>
      <c r="J10" s="70">
        <v>5</v>
      </c>
      <c r="K10" s="65">
        <f>I10+J10</f>
        <v>51</v>
      </c>
      <c r="L10" s="70">
        <v>2.75</v>
      </c>
      <c r="M10" s="13">
        <f>I10+L10</f>
        <v>48.75</v>
      </c>
      <c r="N10" s="70">
        <v>23</v>
      </c>
      <c r="O10" s="70">
        <v>49.13</v>
      </c>
      <c r="P10" s="133">
        <f>M10/O10</f>
        <v>0.99226541827803783</v>
      </c>
      <c r="Q10" s="70">
        <v>18</v>
      </c>
      <c r="R10" s="70">
        <v>0</v>
      </c>
      <c r="S10" s="78">
        <v>1251056</v>
      </c>
      <c r="T10" s="79">
        <v>1297446</v>
      </c>
      <c r="U10" s="78">
        <v>1242846</v>
      </c>
      <c r="V10" s="78">
        <v>54600</v>
      </c>
      <c r="W10" s="135">
        <f>V10/T10</f>
        <v>4.2082676273232179E-2</v>
      </c>
    </row>
    <row r="11" spans="1:220">
      <c r="A11" s="15">
        <v>2014</v>
      </c>
      <c r="B11" s="70">
        <v>4</v>
      </c>
      <c r="C11" s="70">
        <v>1.1599999999999999</v>
      </c>
      <c r="D11" s="65">
        <f>B11+C11</f>
        <v>5.16</v>
      </c>
      <c r="E11" s="13">
        <f>ROUND((O11/B11), 0)</f>
        <v>9</v>
      </c>
      <c r="F11" s="13">
        <f>ROUND((O11/D11), 0)</f>
        <v>7</v>
      </c>
      <c r="G11" s="83"/>
      <c r="H11" s="83"/>
      <c r="I11" s="70">
        <v>33</v>
      </c>
      <c r="J11" s="70">
        <v>2</v>
      </c>
      <c r="K11" s="65">
        <f>I11+J11</f>
        <v>35</v>
      </c>
      <c r="L11" s="70">
        <v>1.25</v>
      </c>
      <c r="M11" s="13">
        <f>I11+L11</f>
        <v>34.25</v>
      </c>
      <c r="N11" s="70">
        <v>16</v>
      </c>
      <c r="O11" s="70">
        <v>35</v>
      </c>
      <c r="P11" s="133">
        <f>M11/O11</f>
        <v>0.97857142857142854</v>
      </c>
      <c r="Q11" s="70">
        <v>0</v>
      </c>
      <c r="R11" s="70">
        <v>0</v>
      </c>
      <c r="S11" s="71">
        <v>528959</v>
      </c>
      <c r="T11" s="68">
        <f>SUM(U11:V11)</f>
        <v>528959</v>
      </c>
      <c r="U11" s="71">
        <v>490709</v>
      </c>
      <c r="V11" s="71">
        <v>38250</v>
      </c>
      <c r="W11" s="135">
        <f>V11/T11</f>
        <v>7.2311842694802439E-2</v>
      </c>
    </row>
    <row r="12" spans="1:220">
      <c r="A12" s="15">
        <v>2013</v>
      </c>
      <c r="B12" s="70">
        <v>4</v>
      </c>
      <c r="C12" s="70">
        <v>0.5</v>
      </c>
      <c r="D12" s="65">
        <f>B12+C12</f>
        <v>4.5</v>
      </c>
      <c r="E12" s="13">
        <f>ROUND((O12/B12), 0)</f>
        <v>6</v>
      </c>
      <c r="F12" s="13">
        <f>ROUND((O12/D12), 0)</f>
        <v>5</v>
      </c>
      <c r="G12" s="85"/>
      <c r="H12" s="85"/>
      <c r="I12" s="70">
        <v>22</v>
      </c>
      <c r="J12" s="70">
        <v>0</v>
      </c>
      <c r="K12" s="65">
        <f>I12+J12</f>
        <v>22</v>
      </c>
      <c r="L12" s="70">
        <v>0</v>
      </c>
      <c r="M12" s="13">
        <f>I12+L12</f>
        <v>22</v>
      </c>
      <c r="N12" s="70">
        <v>14</v>
      </c>
      <c r="O12" s="70">
        <v>22</v>
      </c>
      <c r="P12" s="133">
        <f>M12/O12</f>
        <v>1</v>
      </c>
      <c r="Q12" s="70">
        <v>0</v>
      </c>
      <c r="R12" s="70">
        <v>0</v>
      </c>
      <c r="S12" s="71">
        <v>392600</v>
      </c>
      <c r="T12" s="68">
        <f>SUM(U12:V12)</f>
        <v>392600</v>
      </c>
      <c r="U12" s="71">
        <v>375600</v>
      </c>
      <c r="V12" s="71">
        <v>17000</v>
      </c>
      <c r="W12" s="135">
        <f>V12/T12</f>
        <v>4.3301069791136015E-2</v>
      </c>
    </row>
    <row r="13" spans="1:220" ht="19.5" customHeight="1">
      <c r="A13" s="567" t="s">
        <v>199</v>
      </c>
      <c r="B13" s="567"/>
      <c r="C13" s="567"/>
      <c r="D13" s="567"/>
      <c r="E13" s="567"/>
      <c r="F13" s="567"/>
      <c r="G13" s="567"/>
      <c r="H13" s="567"/>
      <c r="I13" s="567"/>
      <c r="J13" s="567"/>
      <c r="K13" s="567"/>
      <c r="L13" s="567"/>
      <c r="M13" s="567"/>
      <c r="N13" s="567"/>
      <c r="O13" s="567"/>
      <c r="P13" s="567"/>
      <c r="Q13" s="567"/>
      <c r="R13" s="567"/>
      <c r="S13" s="567"/>
      <c r="T13" s="567"/>
      <c r="U13" s="567"/>
      <c r="V13" s="567"/>
      <c r="W13" s="567"/>
    </row>
    <row r="14" spans="1:220" ht="30.75" customHeight="1">
      <c r="A14" s="567"/>
      <c r="B14" s="567"/>
      <c r="C14" s="567"/>
      <c r="D14" s="567"/>
      <c r="E14" s="567"/>
      <c r="F14" s="567"/>
      <c r="G14" s="567"/>
      <c r="H14" s="567"/>
      <c r="I14" s="567"/>
      <c r="J14" s="567"/>
      <c r="K14" s="567"/>
      <c r="L14" s="567"/>
      <c r="M14" s="567"/>
      <c r="N14" s="567"/>
      <c r="O14" s="567"/>
      <c r="P14" s="567"/>
      <c r="Q14" s="567"/>
      <c r="R14" s="567"/>
      <c r="S14" s="567"/>
      <c r="T14" s="567"/>
      <c r="U14" s="567"/>
      <c r="V14" s="567"/>
      <c r="W14" s="567"/>
    </row>
    <row r="15" spans="1:220" ht="81.75" customHeight="1">
      <c r="A15" s="567"/>
      <c r="B15" s="567"/>
      <c r="C15" s="567"/>
      <c r="D15" s="567"/>
      <c r="E15" s="567"/>
      <c r="F15" s="567"/>
      <c r="G15" s="567"/>
      <c r="H15" s="567"/>
      <c r="I15" s="567"/>
      <c r="J15" s="567"/>
      <c r="K15" s="567"/>
      <c r="L15" s="567"/>
      <c r="M15" s="567"/>
      <c r="N15" s="567"/>
      <c r="O15" s="567"/>
      <c r="P15" s="567"/>
      <c r="Q15" s="567"/>
      <c r="R15" s="567"/>
      <c r="S15" s="567"/>
      <c r="T15" s="567"/>
      <c r="U15" s="567"/>
      <c r="V15" s="567"/>
      <c r="W15" s="567"/>
    </row>
  </sheetData>
  <mergeCells count="1">
    <mergeCell ref="A13:W15"/>
  </mergeCells>
  <printOptions headings="1" gridLines="1"/>
  <pageMargins left="0.5" right="0.5" top="0.5" bottom="0.5" header="0" footer="0"/>
  <pageSetup paperSize="5" scale="63" orientation="landscape"/>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L23"/>
  <sheetViews>
    <sheetView workbookViewId="0">
      <selection activeCell="H17" sqref="H17"/>
    </sheetView>
  </sheetViews>
  <sheetFormatPr defaultColWidth="8.85546875" defaultRowHeight="15"/>
  <cols>
    <col min="1" max="1" width="9.140625" customWidth="1"/>
    <col min="2" max="2" width="10.28515625" bestFit="1" customWidth="1"/>
    <col min="3" max="3" width="8.42578125" bestFit="1" customWidth="1"/>
    <col min="4" max="4" width="9.42578125" bestFit="1" customWidth="1"/>
    <col min="5" max="5" width="12.42578125" bestFit="1" customWidth="1"/>
    <col min="6" max="6" width="11.42578125" bestFit="1" customWidth="1"/>
    <col min="7" max="8" width="12.140625" customWidth="1"/>
    <col min="9" max="9" width="9" bestFit="1" customWidth="1"/>
    <col min="10" max="11" width="12" bestFit="1" customWidth="1"/>
    <col min="12" max="12" width="12.42578125" bestFit="1" customWidth="1"/>
    <col min="13" max="14" width="13.28515625" bestFit="1" customWidth="1"/>
    <col min="15" max="15" width="13.42578125" bestFit="1" customWidth="1"/>
    <col min="16" max="16" width="14.28515625" customWidth="1"/>
    <col min="17" max="17" width="12.42578125" bestFit="1" customWidth="1"/>
    <col min="18" max="18" width="9.140625" bestFit="1" customWidth="1"/>
    <col min="19" max="19" width="12" bestFit="1" customWidth="1"/>
    <col min="20" max="20" width="13" bestFit="1" customWidth="1"/>
    <col min="21" max="21" width="10.42578125" bestFit="1" customWidth="1"/>
    <col min="22" max="22" width="11" bestFit="1" customWidth="1"/>
    <col min="23" max="23" width="13" bestFit="1" customWidth="1"/>
  </cols>
  <sheetData>
    <row r="1" spans="1:220" s="1" customFormat="1" ht="18.75">
      <c r="A1" s="1" t="s">
        <v>200</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220" s="3" customFormat="1" ht="60">
      <c r="A2" s="21" t="s">
        <v>4</v>
      </c>
      <c r="B2" s="21" t="s">
        <v>5</v>
      </c>
      <c r="C2" s="21" t="s">
        <v>6</v>
      </c>
      <c r="D2" s="21" t="s">
        <v>7</v>
      </c>
      <c r="E2" s="5" t="s">
        <v>8</v>
      </c>
      <c r="F2" s="21" t="s">
        <v>9</v>
      </c>
      <c r="G2" s="5" t="s">
        <v>10</v>
      </c>
      <c r="H2" s="5" t="s">
        <v>11</v>
      </c>
      <c r="I2" s="21" t="s">
        <v>12</v>
      </c>
      <c r="J2" s="21" t="s">
        <v>13</v>
      </c>
      <c r="K2" s="21" t="s">
        <v>1</v>
      </c>
      <c r="L2" s="21" t="s">
        <v>14</v>
      </c>
      <c r="M2" s="21" t="s">
        <v>15</v>
      </c>
      <c r="N2" s="21" t="s">
        <v>16</v>
      </c>
      <c r="O2" s="21" t="s">
        <v>201</v>
      </c>
      <c r="P2" s="21" t="s">
        <v>18</v>
      </c>
      <c r="Q2" s="21" t="s">
        <v>2</v>
      </c>
      <c r="R2" s="21" t="s">
        <v>19</v>
      </c>
      <c r="S2" s="21" t="s">
        <v>20</v>
      </c>
      <c r="T2" s="21" t="s">
        <v>21</v>
      </c>
      <c r="U2" s="21" t="s">
        <v>22</v>
      </c>
      <c r="V2" s="21" t="s">
        <v>23</v>
      </c>
      <c r="W2" s="21"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row>
    <row r="3" spans="1:220" s="301" customFormat="1">
      <c r="A3" s="10">
        <v>2022</v>
      </c>
      <c r="B3" s="54">
        <v>7</v>
      </c>
      <c r="C3" s="54">
        <v>3</v>
      </c>
      <c r="D3" s="19">
        <v>10</v>
      </c>
      <c r="E3" s="106">
        <v>14</v>
      </c>
      <c r="F3" s="19">
        <v>10</v>
      </c>
      <c r="G3" s="66">
        <v>5</v>
      </c>
      <c r="H3" s="66">
        <v>3</v>
      </c>
      <c r="I3" s="54">
        <v>48</v>
      </c>
      <c r="J3" s="54">
        <v>70</v>
      </c>
      <c r="K3" s="19">
        <v>118</v>
      </c>
      <c r="L3" s="54">
        <v>35</v>
      </c>
      <c r="M3" s="19">
        <v>83</v>
      </c>
      <c r="N3" s="54">
        <v>26</v>
      </c>
      <c r="O3" s="54">
        <v>101</v>
      </c>
      <c r="P3" s="385">
        <v>0.82179999999999997</v>
      </c>
      <c r="Q3" s="54">
        <v>36</v>
      </c>
      <c r="R3" s="54">
        <v>0</v>
      </c>
      <c r="S3" s="453">
        <v>1759071.59</v>
      </c>
      <c r="T3" s="454">
        <v>1759071.59</v>
      </c>
      <c r="U3" s="453">
        <v>1759071.59</v>
      </c>
      <c r="V3" s="20">
        <v>0</v>
      </c>
      <c r="W3" s="135">
        <v>0</v>
      </c>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row>
    <row r="4" spans="1:220" s="301" customFormat="1">
      <c r="A4" s="10">
        <v>2021</v>
      </c>
      <c r="B4" s="54">
        <v>7</v>
      </c>
      <c r="C4" s="54">
        <v>2</v>
      </c>
      <c r="D4" s="19">
        <v>9</v>
      </c>
      <c r="E4" s="106">
        <v>11</v>
      </c>
      <c r="F4" s="19">
        <v>9</v>
      </c>
      <c r="G4" s="66">
        <v>5</v>
      </c>
      <c r="H4" s="66">
        <v>2</v>
      </c>
      <c r="I4" s="54">
        <v>46</v>
      </c>
      <c r="J4" s="54">
        <v>61</v>
      </c>
      <c r="K4" s="19">
        <v>107</v>
      </c>
      <c r="L4" s="54">
        <v>31</v>
      </c>
      <c r="M4" s="19">
        <v>77</v>
      </c>
      <c r="N4" s="54">
        <v>24</v>
      </c>
      <c r="O4" s="54">
        <v>85</v>
      </c>
      <c r="P4" s="134">
        <v>0.90590000000000004</v>
      </c>
      <c r="Q4" s="54">
        <v>24</v>
      </c>
      <c r="R4" s="54">
        <v>0</v>
      </c>
      <c r="S4" s="416">
        <v>1621412.95</v>
      </c>
      <c r="T4" s="417">
        <v>1621412.95</v>
      </c>
      <c r="U4" s="416">
        <v>1621412.95</v>
      </c>
      <c r="V4" s="20">
        <v>0</v>
      </c>
      <c r="W4" s="135">
        <v>0</v>
      </c>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row>
    <row r="5" spans="1:220" s="301" customFormat="1">
      <c r="A5" s="10">
        <v>2020</v>
      </c>
      <c r="B5" s="54">
        <v>7</v>
      </c>
      <c r="C5" s="54">
        <v>2</v>
      </c>
      <c r="D5" s="19">
        <f>SUM(B5:C5)</f>
        <v>9</v>
      </c>
      <c r="E5" s="106">
        <v>8</v>
      </c>
      <c r="F5" s="19">
        <v>6</v>
      </c>
      <c r="G5" s="66">
        <v>5</v>
      </c>
      <c r="H5" s="66">
        <v>1</v>
      </c>
      <c r="I5" s="54">
        <v>31</v>
      </c>
      <c r="J5" s="54">
        <v>56</v>
      </c>
      <c r="K5" s="19">
        <f>SUM(I5:J5)</f>
        <v>87</v>
      </c>
      <c r="L5" s="54">
        <v>28</v>
      </c>
      <c r="M5" s="19">
        <v>59</v>
      </c>
      <c r="N5" s="54">
        <v>11</v>
      </c>
      <c r="O5" s="54">
        <v>67</v>
      </c>
      <c r="P5" s="134">
        <f t="shared" ref="P5" si="0">M5/O5</f>
        <v>0.88059701492537312</v>
      </c>
      <c r="Q5" s="54">
        <v>15</v>
      </c>
      <c r="R5" s="54">
        <v>0</v>
      </c>
      <c r="S5" s="416">
        <v>1439382</v>
      </c>
      <c r="T5" s="417">
        <f>SUM(U5:V5)</f>
        <v>1439382</v>
      </c>
      <c r="U5" s="416">
        <v>1439382</v>
      </c>
      <c r="V5" s="20">
        <v>0</v>
      </c>
      <c r="W5" s="135">
        <v>0</v>
      </c>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row>
    <row r="6" spans="1:220" s="14" customFormat="1">
      <c r="A6" s="10">
        <v>2019</v>
      </c>
      <c r="B6" s="17">
        <v>7</v>
      </c>
      <c r="C6" s="17">
        <v>1</v>
      </c>
      <c r="D6" s="23">
        <f>SUM(B6:C6)</f>
        <v>8</v>
      </c>
      <c r="E6" s="82">
        <f>ROUND((O6/B6), 0)</f>
        <v>6</v>
      </c>
      <c r="F6" s="82">
        <f>ROUND((O6/D6), 0)</f>
        <v>5</v>
      </c>
      <c r="G6" s="17">
        <v>5</v>
      </c>
      <c r="H6" s="17">
        <v>1</v>
      </c>
      <c r="I6" s="17">
        <v>20</v>
      </c>
      <c r="J6" s="17">
        <v>44</v>
      </c>
      <c r="K6" s="23">
        <f t="shared" ref="K6" si="1">SUM(I6:J6)</f>
        <v>64</v>
      </c>
      <c r="L6" s="17">
        <v>22</v>
      </c>
      <c r="M6" s="82">
        <f>(I6+L6)</f>
        <v>42</v>
      </c>
      <c r="N6" s="17">
        <v>5</v>
      </c>
      <c r="O6" s="17">
        <v>42</v>
      </c>
      <c r="P6" s="133">
        <f t="shared" ref="P6" si="2">M6/O6</f>
        <v>1</v>
      </c>
      <c r="Q6" s="17">
        <v>15</v>
      </c>
      <c r="R6" s="17">
        <v>0</v>
      </c>
      <c r="S6" s="20">
        <v>1482024.75</v>
      </c>
      <c r="T6" s="24">
        <f>SUM(U6:V6)</f>
        <v>1482024.75</v>
      </c>
      <c r="U6" s="20">
        <v>1482024.75</v>
      </c>
      <c r="V6" s="20">
        <v>0</v>
      </c>
      <c r="W6" s="135">
        <v>0</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7</v>
      </c>
      <c r="C7" s="17">
        <v>1</v>
      </c>
      <c r="D7" s="23">
        <f>SUM(B7:C7)</f>
        <v>8</v>
      </c>
      <c r="E7" s="82">
        <f>ROUND((O7/B7), 0)</f>
        <v>5</v>
      </c>
      <c r="F7" s="82">
        <f>ROUND((O7/D7), 0)</f>
        <v>5</v>
      </c>
      <c r="G7" s="17">
        <v>5</v>
      </c>
      <c r="H7" s="17">
        <v>1</v>
      </c>
      <c r="I7" s="17">
        <v>15</v>
      </c>
      <c r="J7" s="17">
        <v>51</v>
      </c>
      <c r="K7" s="23">
        <f t="shared" ref="K7" si="3">SUM(I7:J7)</f>
        <v>66</v>
      </c>
      <c r="L7" s="17">
        <v>23</v>
      </c>
      <c r="M7" s="82">
        <f>(I7+L7)</f>
        <v>38</v>
      </c>
      <c r="N7" s="17">
        <v>3</v>
      </c>
      <c r="O7" s="17">
        <v>38</v>
      </c>
      <c r="P7" s="133">
        <f t="shared" ref="P7" si="4">M7/O7</f>
        <v>1</v>
      </c>
      <c r="Q7" s="17">
        <v>5</v>
      </c>
      <c r="R7" s="17">
        <v>0</v>
      </c>
      <c r="S7" s="20">
        <v>1078037</v>
      </c>
      <c r="T7" s="24">
        <f>SUM(U7:V7)</f>
        <v>1078037</v>
      </c>
      <c r="U7" s="20">
        <v>1078037</v>
      </c>
      <c r="V7" s="20">
        <v>0</v>
      </c>
      <c r="W7" s="135">
        <f t="shared" ref="W7" si="5">V7/T7</f>
        <v>0</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5</v>
      </c>
      <c r="C8" s="17">
        <v>1</v>
      </c>
      <c r="D8" s="27">
        <f>SUM(B8:C8)</f>
        <v>6</v>
      </c>
      <c r="E8" s="27">
        <f>ROUND((O8/B8), 0)</f>
        <v>7</v>
      </c>
      <c r="F8" s="27">
        <f>ROUND((O8/D8), 0)</f>
        <v>6</v>
      </c>
      <c r="G8" s="17">
        <v>4</v>
      </c>
      <c r="H8" s="17">
        <v>1</v>
      </c>
      <c r="I8" s="17">
        <v>7</v>
      </c>
      <c r="J8" s="17">
        <v>48</v>
      </c>
      <c r="K8" s="27">
        <f>SUM(I8:J8)</f>
        <v>55</v>
      </c>
      <c r="L8" s="17">
        <v>26</v>
      </c>
      <c r="M8" s="29">
        <f>(I8+L8)</f>
        <v>33</v>
      </c>
      <c r="N8" s="255">
        <v>3</v>
      </c>
      <c r="O8" s="255">
        <v>33</v>
      </c>
      <c r="P8" s="133">
        <f>M8/O8</f>
        <v>1</v>
      </c>
      <c r="Q8" s="17">
        <v>0</v>
      </c>
      <c r="R8" s="17">
        <v>0</v>
      </c>
      <c r="S8" s="223">
        <v>1100117</v>
      </c>
      <c r="T8" s="28">
        <f>SUM(U8:V8)</f>
        <v>1100117</v>
      </c>
      <c r="U8" s="252">
        <v>1100117</v>
      </c>
      <c r="V8" s="20">
        <v>0</v>
      </c>
      <c r="W8" s="135">
        <f>V8/T8</f>
        <v>0</v>
      </c>
    </row>
    <row r="9" spans="1:220">
      <c r="A9" s="15">
        <v>2016</v>
      </c>
      <c r="B9" s="70">
        <v>5</v>
      </c>
      <c r="C9" s="70">
        <v>0</v>
      </c>
      <c r="D9" s="65">
        <f>SUM(B9:C9)</f>
        <v>5</v>
      </c>
      <c r="E9" s="13">
        <v>2</v>
      </c>
      <c r="F9" s="13">
        <v>2</v>
      </c>
      <c r="G9" s="66">
        <v>3</v>
      </c>
      <c r="H9" s="66">
        <v>0</v>
      </c>
      <c r="I9" s="70">
        <v>9</v>
      </c>
      <c r="J9" s="70">
        <v>1</v>
      </c>
      <c r="K9" s="65">
        <f>SUM(I9:J9)</f>
        <v>10</v>
      </c>
      <c r="L9" s="70">
        <v>0.6</v>
      </c>
      <c r="M9" s="13">
        <f>(I9+L9)</f>
        <v>9.6</v>
      </c>
      <c r="N9" s="70">
        <v>0</v>
      </c>
      <c r="O9" s="70">
        <v>10</v>
      </c>
      <c r="P9" s="133">
        <f>M9/O9</f>
        <v>0.96</v>
      </c>
      <c r="Q9" s="70">
        <v>30</v>
      </c>
      <c r="R9" s="70">
        <v>0</v>
      </c>
      <c r="S9" s="71">
        <v>1274316.07</v>
      </c>
      <c r="T9" s="68">
        <f>SUM(U9:V9)</f>
        <v>1278124.8799999999</v>
      </c>
      <c r="U9" s="71">
        <v>1278124.8799999999</v>
      </c>
      <c r="V9" s="71">
        <v>0</v>
      </c>
      <c r="W9" s="135">
        <f>V9/T9</f>
        <v>0</v>
      </c>
    </row>
    <row r="10" spans="1:220">
      <c r="A10" s="568" t="s">
        <v>202</v>
      </c>
      <c r="B10" s="538"/>
      <c r="C10" s="538"/>
      <c r="D10" s="538"/>
      <c r="E10" s="538"/>
      <c r="F10" s="538"/>
      <c r="G10" s="538"/>
      <c r="H10" s="538"/>
      <c r="I10" s="538"/>
      <c r="J10" s="538"/>
      <c r="K10" s="538"/>
      <c r="L10" s="538"/>
      <c r="M10" s="538"/>
      <c r="N10" s="538"/>
      <c r="O10" s="538"/>
      <c r="P10" s="538"/>
      <c r="Q10" s="538"/>
      <c r="R10" s="538"/>
      <c r="S10" s="538"/>
      <c r="T10" s="538"/>
      <c r="U10" s="538"/>
      <c r="V10" s="538"/>
      <c r="W10" s="538"/>
    </row>
    <row r="11" spans="1:220" s="12" customFormat="1"/>
    <row r="12" spans="1:220" s="12" customFormat="1"/>
    <row r="13" spans="1:220" s="12" customFormat="1"/>
    <row r="14" spans="1:220" s="12" customFormat="1"/>
    <row r="15" spans="1:220" s="12" customFormat="1"/>
    <row r="16" spans="1:220" s="12" customFormat="1"/>
    <row r="17" s="12" customFormat="1"/>
    <row r="18" s="12" customFormat="1"/>
    <row r="19" s="12" customFormat="1"/>
    <row r="20" s="12" customFormat="1"/>
    <row r="21" s="12" customFormat="1"/>
    <row r="22" s="12" customFormat="1"/>
    <row r="23" s="12" customFormat="1"/>
  </sheetData>
  <mergeCells count="1">
    <mergeCell ref="A10:W10"/>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L33"/>
  <sheetViews>
    <sheetView workbookViewId="0">
      <selection activeCell="G7" sqref="G7"/>
    </sheetView>
  </sheetViews>
  <sheetFormatPr defaultColWidth="8.7109375" defaultRowHeight="15"/>
  <cols>
    <col min="1" max="1" width="10.42578125" customWidth="1"/>
    <col min="2" max="2" width="10.28515625" bestFit="1" customWidth="1"/>
    <col min="3" max="3" width="8.42578125" bestFit="1" customWidth="1"/>
    <col min="4" max="4" width="9.28515625" bestFit="1" customWidth="1"/>
    <col min="5" max="5" width="12.28515625" bestFit="1" customWidth="1"/>
    <col min="6" max="6" width="11.42578125" bestFit="1" customWidth="1"/>
    <col min="7" max="8" width="12.28515625" customWidth="1"/>
    <col min="9" max="9" width="8.7109375" bestFit="1" customWidth="1"/>
    <col min="10" max="11" width="11.7109375" bestFit="1" customWidth="1"/>
    <col min="12" max="12" width="12.28515625" bestFit="1" customWidth="1"/>
    <col min="13" max="14" width="13.28515625" bestFit="1" customWidth="1"/>
    <col min="15" max="15" width="13.42578125" bestFit="1" customWidth="1"/>
    <col min="16" max="16" width="14.28515625" customWidth="1"/>
    <col min="17" max="17" width="12.42578125" bestFit="1" customWidth="1"/>
    <col min="18" max="18" width="9" bestFit="1" customWidth="1"/>
    <col min="19" max="19" width="11.7109375" bestFit="1" customWidth="1"/>
    <col min="20" max="20" width="12.7109375" bestFit="1" customWidth="1"/>
    <col min="21" max="21" width="10.28515625" bestFit="1" customWidth="1"/>
    <col min="22" max="22" width="10.7109375" bestFit="1" customWidth="1"/>
    <col min="23" max="23" width="12.7109375" bestFit="1" customWidth="1"/>
  </cols>
  <sheetData>
    <row r="1" spans="1:220" s="7" customFormat="1" ht="18.75">
      <c r="A1" s="1" t="s">
        <v>203</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14" customFormat="1">
      <c r="A3" s="10">
        <v>2022</v>
      </c>
      <c r="B3" s="17">
        <v>10</v>
      </c>
      <c r="C3" s="17">
        <v>2.73</v>
      </c>
      <c r="D3" s="23">
        <f>SUM(B3:C3)</f>
        <v>12.73</v>
      </c>
      <c r="E3" s="82">
        <f t="shared" ref="E3" si="0">ROUND((O3/B3), 0)</f>
        <v>24</v>
      </c>
      <c r="F3" s="82">
        <f t="shared" ref="F3" si="1">ROUND((O3/D3), 0)</f>
        <v>19</v>
      </c>
      <c r="G3" s="17">
        <v>8</v>
      </c>
      <c r="H3" s="17">
        <v>2.73</v>
      </c>
      <c r="I3" s="17">
        <v>72</v>
      </c>
      <c r="J3" s="17">
        <v>204</v>
      </c>
      <c r="K3" s="23">
        <f>SUM(I3:J3)</f>
        <v>276</v>
      </c>
      <c r="L3" s="17">
        <v>97.2</v>
      </c>
      <c r="M3" s="82">
        <f>(I3+L3)</f>
        <v>169.2</v>
      </c>
      <c r="N3" s="17">
        <v>76</v>
      </c>
      <c r="O3" s="17">
        <v>242</v>
      </c>
      <c r="P3" s="133">
        <f>M3/O3</f>
        <v>0.69917355371900825</v>
      </c>
      <c r="Q3" s="17">
        <v>87</v>
      </c>
      <c r="R3" s="17">
        <v>47</v>
      </c>
      <c r="S3" s="20">
        <v>631597</v>
      </c>
      <c r="T3" s="24">
        <v>1708240</v>
      </c>
      <c r="U3" s="20">
        <v>627387</v>
      </c>
      <c r="V3" s="20">
        <v>0</v>
      </c>
      <c r="W3" s="135">
        <f t="shared" ref="W3" si="2">V3/T3</f>
        <v>0</v>
      </c>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row>
    <row r="4" spans="1:220" s="14" customFormat="1">
      <c r="A4" s="10">
        <v>2021</v>
      </c>
      <c r="B4" s="17">
        <v>10</v>
      </c>
      <c r="C4" s="17">
        <v>4.25</v>
      </c>
      <c r="D4" s="23">
        <f>SUM(B4:C4)</f>
        <v>14.25</v>
      </c>
      <c r="E4" s="82">
        <f t="shared" ref="E4" si="3">ROUND((O4/B4), 0)</f>
        <v>31</v>
      </c>
      <c r="F4" s="82">
        <f t="shared" ref="F4" si="4">ROUND((O4/D4), 0)</f>
        <v>21</v>
      </c>
      <c r="G4" s="17">
        <v>8</v>
      </c>
      <c r="H4" s="17">
        <v>2.75</v>
      </c>
      <c r="I4" s="17">
        <v>111</v>
      </c>
      <c r="J4" s="17">
        <v>270</v>
      </c>
      <c r="K4" s="23">
        <f>SUM(I4:J4)</f>
        <v>381</v>
      </c>
      <c r="L4" s="17">
        <v>97.2</v>
      </c>
      <c r="M4" s="82">
        <f>(I4+L4)</f>
        <v>208.2</v>
      </c>
      <c r="N4" s="17">
        <v>101</v>
      </c>
      <c r="O4" s="17">
        <v>305</v>
      </c>
      <c r="P4" s="133">
        <f>M4/O4</f>
        <v>0.68262295081967206</v>
      </c>
      <c r="Q4" s="17">
        <v>67</v>
      </c>
      <c r="R4" s="17">
        <v>53</v>
      </c>
      <c r="S4" s="20">
        <v>955935</v>
      </c>
      <c r="T4" s="24">
        <f>SUM(U4:V4)</f>
        <v>1957183</v>
      </c>
      <c r="U4" s="20">
        <v>1957183</v>
      </c>
      <c r="V4" s="20">
        <v>0</v>
      </c>
      <c r="W4" s="135">
        <f>V4/T4</f>
        <v>0</v>
      </c>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row>
    <row r="5" spans="1:220" s="14" customFormat="1">
      <c r="A5" s="10">
        <v>2020</v>
      </c>
      <c r="B5" s="17">
        <v>9</v>
      </c>
      <c r="C5" s="17">
        <v>2.2999999999999998</v>
      </c>
      <c r="D5" s="23">
        <v>11.3</v>
      </c>
      <c r="E5" s="82">
        <v>30</v>
      </c>
      <c r="F5" s="82">
        <v>24</v>
      </c>
      <c r="G5" s="17">
        <v>7</v>
      </c>
      <c r="H5" s="17">
        <v>1.5</v>
      </c>
      <c r="I5" s="17">
        <v>92</v>
      </c>
      <c r="J5" s="17">
        <v>165</v>
      </c>
      <c r="K5" s="23">
        <v>257</v>
      </c>
      <c r="L5" s="17">
        <v>60</v>
      </c>
      <c r="M5" s="82">
        <v>152</v>
      </c>
      <c r="N5" s="17">
        <v>61</v>
      </c>
      <c r="O5" s="17">
        <v>274</v>
      </c>
      <c r="P5" s="133">
        <v>0.55469999999999997</v>
      </c>
      <c r="Q5" s="17">
        <v>49</v>
      </c>
      <c r="R5" s="17">
        <v>32</v>
      </c>
      <c r="S5" s="20">
        <v>801726</v>
      </c>
      <c r="T5" s="24">
        <v>921223</v>
      </c>
      <c r="U5" s="20">
        <v>917770</v>
      </c>
      <c r="V5" s="20">
        <v>5899</v>
      </c>
      <c r="W5" s="135">
        <f t="shared" ref="W5" si="5">V5/T5</f>
        <v>6.4034441172224317E-3</v>
      </c>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row>
    <row r="6" spans="1:220" s="14" customFormat="1">
      <c r="A6" s="10">
        <v>2019</v>
      </c>
      <c r="B6" s="17">
        <v>9</v>
      </c>
      <c r="C6" s="17">
        <v>2</v>
      </c>
      <c r="D6" s="23">
        <f>SUM(B6:C6)</f>
        <v>11</v>
      </c>
      <c r="E6" s="82">
        <f>ROUND((O6/B6), 0)</f>
        <v>22</v>
      </c>
      <c r="F6" s="82">
        <f>ROUND((O6/D6), 0)</f>
        <v>18</v>
      </c>
      <c r="G6" s="17">
        <v>7</v>
      </c>
      <c r="H6" s="17">
        <v>0.5</v>
      </c>
      <c r="I6" s="17">
        <v>57</v>
      </c>
      <c r="J6" s="17">
        <v>128</v>
      </c>
      <c r="K6" s="23">
        <f>SUM(I6:J6)</f>
        <v>185</v>
      </c>
      <c r="L6" s="17">
        <v>105</v>
      </c>
      <c r="M6" s="82">
        <f>(I6+L6)</f>
        <v>162</v>
      </c>
      <c r="N6" s="17">
        <v>44</v>
      </c>
      <c r="O6" s="17">
        <v>195</v>
      </c>
      <c r="P6" s="133">
        <f>M6/O6</f>
        <v>0.83076923076923082</v>
      </c>
      <c r="Q6" s="17">
        <v>54</v>
      </c>
      <c r="R6" s="17">
        <v>20</v>
      </c>
      <c r="S6" s="20">
        <v>799389</v>
      </c>
      <c r="T6" s="24">
        <f>SUM(U6:V6)</f>
        <v>857436</v>
      </c>
      <c r="U6" s="20">
        <v>828931</v>
      </c>
      <c r="V6" s="20">
        <v>28505</v>
      </c>
      <c r="W6" s="135">
        <f>V6/T6</f>
        <v>3.3244463726738789E-2</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8</v>
      </c>
      <c r="C7" s="17">
        <v>3</v>
      </c>
      <c r="D7" s="23">
        <f>SUM(B7:C7)</f>
        <v>11</v>
      </c>
      <c r="E7" s="82">
        <f>ROUND((O7/B7), 0)</f>
        <v>21</v>
      </c>
      <c r="F7" s="82">
        <f>ROUND((O7/D7), 0)</f>
        <v>15</v>
      </c>
      <c r="G7" s="17">
        <v>6</v>
      </c>
      <c r="H7" s="17">
        <v>0.75</v>
      </c>
      <c r="I7" s="17">
        <v>48</v>
      </c>
      <c r="J7" s="17">
        <v>122</v>
      </c>
      <c r="K7" s="23">
        <f t="shared" ref="K7" si="6">SUM(I7:J7)</f>
        <v>170</v>
      </c>
      <c r="L7" s="17">
        <v>96</v>
      </c>
      <c r="M7" s="82">
        <f>(I7+L7)</f>
        <v>144</v>
      </c>
      <c r="N7" s="17">
        <v>45</v>
      </c>
      <c r="O7" s="17">
        <v>170</v>
      </c>
      <c r="P7" s="133">
        <f>M7/O7</f>
        <v>0.84705882352941175</v>
      </c>
      <c r="Q7" s="17">
        <v>41</v>
      </c>
      <c r="R7" s="17">
        <v>16</v>
      </c>
      <c r="S7" s="20">
        <v>789155</v>
      </c>
      <c r="T7" s="24">
        <f>SUM(U7:V7)</f>
        <v>929278</v>
      </c>
      <c r="U7" s="20">
        <v>899985</v>
      </c>
      <c r="V7" s="20">
        <v>29293</v>
      </c>
      <c r="W7" s="135">
        <f>V7/T7</f>
        <v>3.1522321630340973E-2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9</v>
      </c>
      <c r="C8" s="17">
        <v>1</v>
      </c>
      <c r="D8" s="27">
        <f>SUM(B8:C8)</f>
        <v>10</v>
      </c>
      <c r="E8" s="27">
        <f>ROUND((O8/B8), 0)</f>
        <v>15</v>
      </c>
      <c r="F8" s="27">
        <f>ROUND((O8/D8), 0)</f>
        <v>14</v>
      </c>
      <c r="G8" s="17">
        <v>7</v>
      </c>
      <c r="H8" s="17">
        <v>0.25</v>
      </c>
      <c r="I8" s="17">
        <v>42</v>
      </c>
      <c r="J8" s="17">
        <v>99</v>
      </c>
      <c r="K8" s="27">
        <f>SUM(I8:J8)</f>
        <v>141</v>
      </c>
      <c r="L8" s="17">
        <v>44</v>
      </c>
      <c r="M8" s="29">
        <f>(I8+L8)</f>
        <v>86</v>
      </c>
      <c r="N8" s="255">
        <v>37</v>
      </c>
      <c r="O8" s="255">
        <v>136.69999999999999</v>
      </c>
      <c r="P8" s="133">
        <f t="shared" ref="P8:P23" si="7">M8/O8</f>
        <v>0.62911485003657652</v>
      </c>
      <c r="Q8" s="17">
        <v>44</v>
      </c>
      <c r="R8" s="17">
        <v>19</v>
      </c>
      <c r="S8" s="223">
        <v>772635.17</v>
      </c>
      <c r="T8" s="28">
        <f>SUM(U8:V8)</f>
        <v>914283</v>
      </c>
      <c r="U8" s="252">
        <v>887518</v>
      </c>
      <c r="V8" s="20">
        <v>26765</v>
      </c>
      <c r="W8" s="135">
        <f t="shared" ref="W8:W23" si="8">V8/T8</f>
        <v>2.9274305658094923E-2</v>
      </c>
    </row>
    <row r="9" spans="1:220" s="9" customFormat="1">
      <c r="A9" s="10">
        <v>2016</v>
      </c>
      <c r="B9" s="54">
        <v>8</v>
      </c>
      <c r="C9" s="54">
        <v>2</v>
      </c>
      <c r="D9" s="65">
        <f>B9+C9</f>
        <v>10</v>
      </c>
      <c r="E9" s="13">
        <f>ROUND((O9/B9), 0)</f>
        <v>27</v>
      </c>
      <c r="F9" s="13">
        <f>ROUND((O9/D9), 0)</f>
        <v>22</v>
      </c>
      <c r="G9" s="54">
        <v>7</v>
      </c>
      <c r="H9" s="54">
        <v>0.5</v>
      </c>
      <c r="I9" s="54">
        <v>32</v>
      </c>
      <c r="J9" s="54">
        <v>104</v>
      </c>
      <c r="K9" s="65">
        <f>I9+J9</f>
        <v>136</v>
      </c>
      <c r="L9" s="54">
        <v>45</v>
      </c>
      <c r="M9" s="13">
        <f>I9+L9</f>
        <v>77</v>
      </c>
      <c r="N9" s="54">
        <v>27</v>
      </c>
      <c r="O9" s="54">
        <v>215</v>
      </c>
      <c r="P9" s="133">
        <f t="shared" si="7"/>
        <v>0.35813953488372091</v>
      </c>
      <c r="Q9" s="54">
        <v>36</v>
      </c>
      <c r="R9" s="54">
        <v>16</v>
      </c>
      <c r="S9" s="55">
        <v>785490</v>
      </c>
      <c r="T9" s="68">
        <f>SUM(U9:V9)</f>
        <v>897323</v>
      </c>
      <c r="U9" s="55">
        <v>823323</v>
      </c>
      <c r="V9" s="55">
        <v>74000</v>
      </c>
      <c r="W9" s="135">
        <f t="shared" si="8"/>
        <v>8.2467517270815527E-2</v>
      </c>
    </row>
    <row r="10" spans="1:220" s="16" customFormat="1">
      <c r="A10" s="57">
        <v>2015</v>
      </c>
      <c r="B10" s="70">
        <v>6</v>
      </c>
      <c r="C10" s="70">
        <v>7</v>
      </c>
      <c r="D10" s="65">
        <v>13</v>
      </c>
      <c r="E10" s="65">
        <v>43.2</v>
      </c>
      <c r="F10" s="65">
        <v>19.899999999999999</v>
      </c>
      <c r="G10" s="83"/>
      <c r="H10" s="83"/>
      <c r="I10" s="70">
        <v>28</v>
      </c>
      <c r="J10" s="70">
        <v>91</v>
      </c>
      <c r="K10" s="65">
        <v>119</v>
      </c>
      <c r="L10" s="70">
        <v>40</v>
      </c>
      <c r="M10" s="65">
        <v>67.75</v>
      </c>
      <c r="N10" s="70">
        <v>25</v>
      </c>
      <c r="O10" s="70">
        <v>259.27999999999997</v>
      </c>
      <c r="P10" s="133">
        <f t="shared" si="7"/>
        <v>0.26130052452946623</v>
      </c>
      <c r="Q10" s="70">
        <v>34</v>
      </c>
      <c r="R10" s="70">
        <v>16</v>
      </c>
      <c r="S10" s="78">
        <v>767840</v>
      </c>
      <c r="T10" s="79">
        <v>962265</v>
      </c>
      <c r="U10" s="78">
        <v>823323</v>
      </c>
      <c r="V10" s="78">
        <v>138942</v>
      </c>
      <c r="W10" s="135">
        <f t="shared" si="8"/>
        <v>0.14439057847890135</v>
      </c>
    </row>
    <row r="11" spans="1:220" s="16" customFormat="1">
      <c r="A11" s="15">
        <v>2014</v>
      </c>
      <c r="B11" s="70">
        <v>8</v>
      </c>
      <c r="C11" s="70">
        <v>1</v>
      </c>
      <c r="D11" s="65">
        <f>B11+C11</f>
        <v>9</v>
      </c>
      <c r="E11" s="13">
        <f t="shared" ref="E11:E23" si="9">ROUND((O11/B11), 0)</f>
        <v>34</v>
      </c>
      <c r="F11" s="13">
        <f t="shared" ref="F11:F23" si="10">ROUND((O11/D11), 0)</f>
        <v>30</v>
      </c>
      <c r="G11" s="83"/>
      <c r="H11" s="83"/>
      <c r="I11" s="70">
        <v>24</v>
      </c>
      <c r="J11" s="70">
        <v>86</v>
      </c>
      <c r="K11" s="65">
        <f>I11+J11</f>
        <v>110</v>
      </c>
      <c r="L11" s="70">
        <v>38.58</v>
      </c>
      <c r="M11" s="13">
        <f>I11+L11</f>
        <v>62.58</v>
      </c>
      <c r="N11" s="70">
        <v>19</v>
      </c>
      <c r="O11" s="70">
        <v>271</v>
      </c>
      <c r="P11" s="133">
        <f t="shared" si="7"/>
        <v>0.23092250922509225</v>
      </c>
      <c r="Q11" s="70">
        <v>70</v>
      </c>
      <c r="R11" s="70">
        <v>7</v>
      </c>
      <c r="S11" s="71">
        <v>957329</v>
      </c>
      <c r="T11" s="68">
        <f t="shared" ref="T11:T23" si="11">SUM(U11:V11)</f>
        <v>1057765</v>
      </c>
      <c r="U11" s="71">
        <v>955929</v>
      </c>
      <c r="V11" s="71">
        <v>101836</v>
      </c>
      <c r="W11" s="135">
        <f t="shared" si="8"/>
        <v>9.6274692393868197E-2</v>
      </c>
    </row>
    <row r="12" spans="1:220">
      <c r="A12" s="15">
        <v>2013</v>
      </c>
      <c r="B12" s="528">
        <v>9</v>
      </c>
      <c r="C12" s="528">
        <v>1</v>
      </c>
      <c r="D12" s="23">
        <f>B12+C12</f>
        <v>10</v>
      </c>
      <c r="E12" s="82">
        <f t="shared" si="9"/>
        <v>22</v>
      </c>
      <c r="F12" s="82">
        <f t="shared" si="10"/>
        <v>20</v>
      </c>
      <c r="G12" s="85"/>
      <c r="H12" s="85"/>
      <c r="I12" s="528">
        <v>30</v>
      </c>
      <c r="J12" s="528">
        <v>107</v>
      </c>
      <c r="K12" s="23">
        <f>I12+J12</f>
        <v>137</v>
      </c>
      <c r="L12" s="528">
        <v>46.25</v>
      </c>
      <c r="M12" s="82">
        <f>I12+L12</f>
        <v>76.25</v>
      </c>
      <c r="N12" s="528">
        <v>16</v>
      </c>
      <c r="O12" s="528">
        <v>195.67</v>
      </c>
      <c r="P12" s="133">
        <f t="shared" si="7"/>
        <v>0.38968671743241173</v>
      </c>
      <c r="Q12" s="528">
        <v>57</v>
      </c>
      <c r="R12" s="528">
        <v>11</v>
      </c>
      <c r="S12" s="84">
        <v>879345</v>
      </c>
      <c r="T12" s="24">
        <f t="shared" si="11"/>
        <v>1066388</v>
      </c>
      <c r="U12" s="84">
        <v>837650</v>
      </c>
      <c r="V12" s="84">
        <v>228738</v>
      </c>
      <c r="W12" s="135">
        <f t="shared" si="8"/>
        <v>0.21449791257966144</v>
      </c>
    </row>
    <row r="13" spans="1:220">
      <c r="A13" s="15">
        <v>2012</v>
      </c>
      <c r="B13" s="528">
        <v>9</v>
      </c>
      <c r="C13" s="528">
        <v>0.33</v>
      </c>
      <c r="D13" s="23">
        <f>B13+C13</f>
        <v>9.33</v>
      </c>
      <c r="E13" s="82">
        <f t="shared" si="9"/>
        <v>14</v>
      </c>
      <c r="F13" s="82">
        <f t="shared" si="10"/>
        <v>13</v>
      </c>
      <c r="G13" s="85"/>
      <c r="H13" s="85"/>
      <c r="I13" s="528">
        <v>33</v>
      </c>
      <c r="J13" s="528">
        <v>117</v>
      </c>
      <c r="K13" s="23">
        <f>I13+J13</f>
        <v>150</v>
      </c>
      <c r="L13" s="528">
        <v>50.209999999999994</v>
      </c>
      <c r="M13" s="82">
        <f>I13+L13</f>
        <v>83.21</v>
      </c>
      <c r="N13" s="528">
        <v>21</v>
      </c>
      <c r="O13" s="528">
        <v>121.98999999999998</v>
      </c>
      <c r="P13" s="133">
        <f t="shared" si="7"/>
        <v>0.68210509058119528</v>
      </c>
      <c r="Q13" s="528">
        <v>73</v>
      </c>
      <c r="R13" s="528">
        <v>10</v>
      </c>
      <c r="S13" s="84">
        <v>1171725</v>
      </c>
      <c r="T13" s="24">
        <f t="shared" si="11"/>
        <v>1084782</v>
      </c>
      <c r="U13" s="84">
        <v>837676</v>
      </c>
      <c r="V13" s="84">
        <v>247106</v>
      </c>
      <c r="W13" s="135">
        <f t="shared" si="8"/>
        <v>0.22779323403227561</v>
      </c>
    </row>
    <row r="14" spans="1:220">
      <c r="A14" s="15" t="s">
        <v>26</v>
      </c>
      <c r="B14" s="528">
        <v>9</v>
      </c>
      <c r="C14" s="528">
        <v>1.25</v>
      </c>
      <c r="D14" s="23">
        <f t="shared" ref="D14:D23" si="12">SUM(B14:C14)</f>
        <v>10.25</v>
      </c>
      <c r="E14" s="82">
        <f t="shared" si="9"/>
        <v>17</v>
      </c>
      <c r="F14" s="82">
        <f t="shared" si="10"/>
        <v>15</v>
      </c>
      <c r="G14" s="85"/>
      <c r="H14" s="85"/>
      <c r="I14" s="528">
        <v>34</v>
      </c>
      <c r="J14" s="528">
        <v>126</v>
      </c>
      <c r="K14" s="23">
        <f t="shared" ref="K14:K23" si="13">SUM(I14:J14)</f>
        <v>160</v>
      </c>
      <c r="L14" s="528">
        <v>53</v>
      </c>
      <c r="M14" s="82">
        <f t="shared" ref="M14:M23" si="14">(I14+L14)</f>
        <v>87</v>
      </c>
      <c r="N14" s="528">
        <v>19</v>
      </c>
      <c r="O14" s="528">
        <v>150.19999999999999</v>
      </c>
      <c r="P14" s="133">
        <f t="shared" si="7"/>
        <v>0.57922769640479366</v>
      </c>
      <c r="Q14" s="528">
        <v>57</v>
      </c>
      <c r="R14" s="528">
        <v>11</v>
      </c>
      <c r="S14" s="84">
        <v>914777</v>
      </c>
      <c r="T14" s="24">
        <f t="shared" si="11"/>
        <v>1169759</v>
      </c>
      <c r="U14" s="84">
        <v>822778</v>
      </c>
      <c r="V14" s="84">
        <v>346981</v>
      </c>
      <c r="W14" s="135">
        <f t="shared" si="8"/>
        <v>0.29662605716220181</v>
      </c>
    </row>
    <row r="15" spans="1:220">
      <c r="A15" s="15" t="s">
        <v>27</v>
      </c>
      <c r="B15" s="528">
        <v>8</v>
      </c>
      <c r="C15" s="528">
        <v>1</v>
      </c>
      <c r="D15" s="23">
        <f t="shared" si="12"/>
        <v>9</v>
      </c>
      <c r="E15" s="82">
        <f t="shared" si="9"/>
        <v>16</v>
      </c>
      <c r="F15" s="82">
        <f t="shared" si="10"/>
        <v>14</v>
      </c>
      <c r="G15" s="85"/>
      <c r="H15" s="85"/>
      <c r="I15" s="528">
        <v>34</v>
      </c>
      <c r="J15" s="528">
        <v>119</v>
      </c>
      <c r="K15" s="23">
        <f t="shared" si="13"/>
        <v>153</v>
      </c>
      <c r="L15" s="528">
        <v>49</v>
      </c>
      <c r="M15" s="82">
        <f t="shared" si="14"/>
        <v>83</v>
      </c>
      <c r="N15" s="528">
        <v>18</v>
      </c>
      <c r="O15" s="528">
        <v>129.08000000000001</v>
      </c>
      <c r="P15" s="133">
        <f t="shared" si="7"/>
        <v>0.64301208552835443</v>
      </c>
      <c r="Q15" s="528">
        <v>56</v>
      </c>
      <c r="R15" s="528">
        <v>13</v>
      </c>
      <c r="S15" s="84">
        <v>820192.75</v>
      </c>
      <c r="T15" s="24">
        <f t="shared" si="11"/>
        <v>1092789</v>
      </c>
      <c r="U15" s="84">
        <v>862590</v>
      </c>
      <c r="V15" s="84">
        <v>230199</v>
      </c>
      <c r="W15" s="135">
        <f t="shared" si="8"/>
        <v>0.21065274266120906</v>
      </c>
    </row>
    <row r="16" spans="1:220">
      <c r="A16" s="15" t="s">
        <v>28</v>
      </c>
      <c r="B16" s="528">
        <v>8</v>
      </c>
      <c r="C16" s="528">
        <v>0.33</v>
      </c>
      <c r="D16" s="23">
        <f t="shared" si="12"/>
        <v>8.33</v>
      </c>
      <c r="E16" s="82">
        <f t="shared" si="9"/>
        <v>22</v>
      </c>
      <c r="F16" s="82">
        <f t="shared" si="10"/>
        <v>21</v>
      </c>
      <c r="G16" s="85"/>
      <c r="H16" s="85"/>
      <c r="I16" s="528">
        <v>26</v>
      </c>
      <c r="J16" s="528">
        <v>138</v>
      </c>
      <c r="K16" s="23">
        <f t="shared" si="13"/>
        <v>164</v>
      </c>
      <c r="L16" s="528">
        <v>73.33</v>
      </c>
      <c r="M16" s="82">
        <f t="shared" si="14"/>
        <v>99.33</v>
      </c>
      <c r="N16" s="528">
        <v>16</v>
      </c>
      <c r="O16" s="528">
        <v>176.82</v>
      </c>
      <c r="P16" s="133">
        <f t="shared" si="7"/>
        <v>0.56175771971496435</v>
      </c>
      <c r="Q16" s="528">
        <v>67</v>
      </c>
      <c r="R16" s="528">
        <v>7</v>
      </c>
      <c r="S16" s="84">
        <v>812460.62</v>
      </c>
      <c r="T16" s="24">
        <f t="shared" si="11"/>
        <v>1129173</v>
      </c>
      <c r="U16" s="84">
        <v>886017</v>
      </c>
      <c r="V16" s="84">
        <v>243156</v>
      </c>
      <c r="W16" s="135">
        <f t="shared" si="8"/>
        <v>0.21533989920056537</v>
      </c>
    </row>
    <row r="17" spans="1:23">
      <c r="A17" s="15" t="s">
        <v>29</v>
      </c>
      <c r="B17" s="528">
        <v>9</v>
      </c>
      <c r="C17" s="528">
        <v>1.66</v>
      </c>
      <c r="D17" s="23">
        <f t="shared" si="12"/>
        <v>10.66</v>
      </c>
      <c r="E17" s="82">
        <f t="shared" si="9"/>
        <v>16</v>
      </c>
      <c r="F17" s="82">
        <f t="shared" si="10"/>
        <v>13</v>
      </c>
      <c r="G17" s="85"/>
      <c r="H17" s="85"/>
      <c r="I17" s="528">
        <v>19</v>
      </c>
      <c r="J17" s="528">
        <v>154</v>
      </c>
      <c r="K17" s="23">
        <f t="shared" si="13"/>
        <v>173</v>
      </c>
      <c r="L17" s="528">
        <v>85.44</v>
      </c>
      <c r="M17" s="82">
        <f t="shared" si="14"/>
        <v>104.44</v>
      </c>
      <c r="N17" s="528">
        <v>25</v>
      </c>
      <c r="O17" s="528">
        <v>141.27000000000001</v>
      </c>
      <c r="P17" s="133">
        <f t="shared" si="7"/>
        <v>0.73929355135556019</v>
      </c>
      <c r="Q17" s="528">
        <v>47</v>
      </c>
      <c r="R17" s="528">
        <v>11</v>
      </c>
      <c r="S17" s="84">
        <v>886957.25</v>
      </c>
      <c r="T17" s="24">
        <f t="shared" si="11"/>
        <v>1100678</v>
      </c>
      <c r="U17" s="84">
        <v>882604</v>
      </c>
      <c r="V17" s="84">
        <v>218074</v>
      </c>
      <c r="W17" s="135">
        <f t="shared" si="8"/>
        <v>0.19812697264776802</v>
      </c>
    </row>
    <row r="18" spans="1:23">
      <c r="A18" s="15">
        <v>2007</v>
      </c>
      <c r="B18" s="528">
        <v>9</v>
      </c>
      <c r="C18" s="528">
        <v>2.6</v>
      </c>
      <c r="D18" s="23">
        <f t="shared" si="12"/>
        <v>11.6</v>
      </c>
      <c r="E18" s="82">
        <f t="shared" si="9"/>
        <v>16</v>
      </c>
      <c r="F18" s="82">
        <f t="shared" si="10"/>
        <v>13</v>
      </c>
      <c r="G18" s="85"/>
      <c r="H18" s="85"/>
      <c r="I18" s="528">
        <v>26</v>
      </c>
      <c r="J18" s="528">
        <v>145</v>
      </c>
      <c r="K18" s="23">
        <f t="shared" si="13"/>
        <v>171</v>
      </c>
      <c r="L18" s="528">
        <v>78.78</v>
      </c>
      <c r="M18" s="82">
        <f t="shared" si="14"/>
        <v>104.78</v>
      </c>
      <c r="N18" s="528">
        <v>29</v>
      </c>
      <c r="O18" s="528">
        <v>146.36000000000001</v>
      </c>
      <c r="P18" s="133">
        <f t="shared" si="7"/>
        <v>0.71590598524186932</v>
      </c>
      <c r="Q18" s="528">
        <v>44</v>
      </c>
      <c r="R18" s="528">
        <v>10</v>
      </c>
      <c r="S18" s="148">
        <v>778532</v>
      </c>
      <c r="T18" s="24">
        <f t="shared" si="11"/>
        <v>795033</v>
      </c>
      <c r="U18" s="148">
        <v>692621</v>
      </c>
      <c r="V18" s="148">
        <v>102412</v>
      </c>
      <c r="W18" s="135">
        <f t="shared" si="8"/>
        <v>0.12881477875761133</v>
      </c>
    </row>
    <row r="19" spans="1:23">
      <c r="A19" s="15">
        <v>2006</v>
      </c>
      <c r="B19" s="528">
        <v>8</v>
      </c>
      <c r="C19" s="528">
        <v>2</v>
      </c>
      <c r="D19" s="23">
        <f t="shared" si="12"/>
        <v>10</v>
      </c>
      <c r="E19" s="82">
        <f t="shared" si="9"/>
        <v>18</v>
      </c>
      <c r="F19" s="82">
        <f t="shared" si="10"/>
        <v>14</v>
      </c>
      <c r="G19" s="85"/>
      <c r="H19" s="85"/>
      <c r="I19" s="528">
        <v>21</v>
      </c>
      <c r="J19" s="528">
        <v>150</v>
      </c>
      <c r="K19" s="23">
        <f t="shared" si="13"/>
        <v>171</v>
      </c>
      <c r="L19" s="528">
        <v>75</v>
      </c>
      <c r="M19" s="82">
        <f t="shared" si="14"/>
        <v>96</v>
      </c>
      <c r="N19" s="528">
        <v>29</v>
      </c>
      <c r="O19" s="528">
        <v>141</v>
      </c>
      <c r="P19" s="133">
        <f t="shared" si="7"/>
        <v>0.68085106382978722</v>
      </c>
      <c r="Q19" s="528">
        <v>59</v>
      </c>
      <c r="R19" s="528">
        <v>11</v>
      </c>
      <c r="S19" s="132">
        <v>690078</v>
      </c>
      <c r="T19" s="24">
        <f t="shared" si="11"/>
        <v>727767</v>
      </c>
      <c r="U19" s="132">
        <v>650979</v>
      </c>
      <c r="V19" s="132">
        <v>76788</v>
      </c>
      <c r="W19" s="135">
        <f t="shared" si="8"/>
        <v>0.10551179154866873</v>
      </c>
    </row>
    <row r="20" spans="1:23">
      <c r="A20" s="15">
        <v>2005</v>
      </c>
      <c r="B20" s="528">
        <v>8</v>
      </c>
      <c r="C20" s="528">
        <v>1</v>
      </c>
      <c r="D20" s="23">
        <f t="shared" si="12"/>
        <v>9</v>
      </c>
      <c r="E20" s="82">
        <f t="shared" si="9"/>
        <v>19</v>
      </c>
      <c r="F20" s="82">
        <f t="shared" si="10"/>
        <v>17</v>
      </c>
      <c r="G20" s="85"/>
      <c r="H20" s="85"/>
      <c r="I20" s="528">
        <v>29</v>
      </c>
      <c r="J20" s="528">
        <v>136</v>
      </c>
      <c r="K20" s="23">
        <f t="shared" si="13"/>
        <v>165</v>
      </c>
      <c r="L20" s="528">
        <v>69</v>
      </c>
      <c r="M20" s="82">
        <f t="shared" si="14"/>
        <v>98</v>
      </c>
      <c r="N20" s="528">
        <v>27</v>
      </c>
      <c r="O20" s="528">
        <v>152</v>
      </c>
      <c r="P20" s="133">
        <f t="shared" si="7"/>
        <v>0.64473684210526316</v>
      </c>
      <c r="Q20" s="528">
        <v>39</v>
      </c>
      <c r="R20" s="528">
        <v>7</v>
      </c>
      <c r="S20" s="132">
        <v>634703</v>
      </c>
      <c r="T20" s="24">
        <f t="shared" si="11"/>
        <v>667127</v>
      </c>
      <c r="U20" s="132">
        <v>586990</v>
      </c>
      <c r="V20" s="132">
        <v>80137</v>
      </c>
      <c r="W20" s="135">
        <f t="shared" si="8"/>
        <v>0.12012255537551321</v>
      </c>
    </row>
    <row r="21" spans="1:23">
      <c r="A21" s="15">
        <v>2004</v>
      </c>
      <c r="B21" s="528">
        <v>7</v>
      </c>
      <c r="C21" s="528">
        <v>2</v>
      </c>
      <c r="D21" s="23">
        <f t="shared" si="12"/>
        <v>9</v>
      </c>
      <c r="E21" s="82">
        <f t="shared" si="9"/>
        <v>19</v>
      </c>
      <c r="F21" s="82">
        <f t="shared" si="10"/>
        <v>15</v>
      </c>
      <c r="G21" s="85"/>
      <c r="H21" s="85"/>
      <c r="I21" s="528">
        <v>25</v>
      </c>
      <c r="J21" s="528">
        <v>128</v>
      </c>
      <c r="K21" s="23">
        <f t="shared" si="13"/>
        <v>153</v>
      </c>
      <c r="L21" s="528">
        <v>66</v>
      </c>
      <c r="M21" s="82">
        <f t="shared" si="14"/>
        <v>91</v>
      </c>
      <c r="N21" s="528">
        <v>16</v>
      </c>
      <c r="O21" s="528">
        <v>132</v>
      </c>
      <c r="P21" s="133">
        <f t="shared" si="7"/>
        <v>0.68939393939393945</v>
      </c>
      <c r="Q21" s="528">
        <v>53</v>
      </c>
      <c r="R21" s="528">
        <v>9</v>
      </c>
      <c r="S21" s="132">
        <v>544895</v>
      </c>
      <c r="T21" s="24">
        <f t="shared" si="11"/>
        <v>573667</v>
      </c>
      <c r="U21" s="132">
        <v>524749</v>
      </c>
      <c r="V21" s="132">
        <v>48918</v>
      </c>
      <c r="W21" s="135">
        <f t="shared" si="8"/>
        <v>8.5272466430873661E-2</v>
      </c>
    </row>
    <row r="22" spans="1:23">
      <c r="A22" s="15">
        <v>2003</v>
      </c>
      <c r="B22" s="528">
        <v>6</v>
      </c>
      <c r="C22" s="528">
        <v>1</v>
      </c>
      <c r="D22" s="23">
        <f t="shared" si="12"/>
        <v>7</v>
      </c>
      <c r="E22" s="82">
        <f t="shared" si="9"/>
        <v>32</v>
      </c>
      <c r="F22" s="82">
        <f t="shared" si="10"/>
        <v>28</v>
      </c>
      <c r="G22" s="85"/>
      <c r="H22" s="85"/>
      <c r="I22" s="528">
        <v>41</v>
      </c>
      <c r="J22" s="528">
        <v>109</v>
      </c>
      <c r="K22" s="23">
        <f t="shared" si="13"/>
        <v>150</v>
      </c>
      <c r="L22" s="528">
        <v>55</v>
      </c>
      <c r="M22" s="82">
        <f t="shared" si="14"/>
        <v>96</v>
      </c>
      <c r="N22" s="528">
        <v>21</v>
      </c>
      <c r="O22" s="528">
        <v>194</v>
      </c>
      <c r="P22" s="133">
        <f t="shared" si="7"/>
        <v>0.49484536082474229</v>
      </c>
      <c r="Q22" s="528">
        <v>24</v>
      </c>
      <c r="R22" s="528">
        <v>5</v>
      </c>
      <c r="S22" s="132">
        <v>516287</v>
      </c>
      <c r="T22" s="24">
        <f t="shared" si="11"/>
        <v>534912</v>
      </c>
      <c r="U22" s="132">
        <v>521587</v>
      </c>
      <c r="V22" s="132">
        <v>13325</v>
      </c>
      <c r="W22" s="135">
        <f t="shared" si="8"/>
        <v>2.4910639507059105E-2</v>
      </c>
    </row>
    <row r="23" spans="1:23">
      <c r="A23" s="15">
        <v>2002</v>
      </c>
      <c r="B23" s="528">
        <v>6</v>
      </c>
      <c r="C23" s="528">
        <v>0</v>
      </c>
      <c r="D23" s="23">
        <f t="shared" si="12"/>
        <v>6</v>
      </c>
      <c r="E23" s="82">
        <f t="shared" si="9"/>
        <v>25</v>
      </c>
      <c r="F23" s="82">
        <f t="shared" si="10"/>
        <v>25</v>
      </c>
      <c r="G23" s="85"/>
      <c r="H23" s="85"/>
      <c r="I23" s="528">
        <v>41</v>
      </c>
      <c r="J23" s="528">
        <v>36</v>
      </c>
      <c r="K23" s="23">
        <f t="shared" si="13"/>
        <v>77</v>
      </c>
      <c r="L23" s="528">
        <v>12</v>
      </c>
      <c r="M23" s="82">
        <f t="shared" si="14"/>
        <v>53</v>
      </c>
      <c r="N23" s="528">
        <v>10</v>
      </c>
      <c r="O23" s="528">
        <f>ROUND(151, 0)</f>
        <v>151</v>
      </c>
      <c r="P23" s="133">
        <f t="shared" si="7"/>
        <v>0.35099337748344372</v>
      </c>
      <c r="Q23" s="528">
        <v>32</v>
      </c>
      <c r="R23" s="528">
        <v>7</v>
      </c>
      <c r="S23" s="132">
        <v>486791</v>
      </c>
      <c r="T23" s="24">
        <f t="shared" si="11"/>
        <v>520633</v>
      </c>
      <c r="U23" s="132">
        <v>514327</v>
      </c>
      <c r="V23" s="132">
        <v>6306</v>
      </c>
      <c r="W23" s="135">
        <f t="shared" si="8"/>
        <v>1.2112178828464581E-2</v>
      </c>
    </row>
    <row r="24" spans="1:23" s="12" customFormat="1">
      <c r="G24"/>
      <c r="H24"/>
    </row>
    <row r="25" spans="1:23" s="12" customFormat="1">
      <c r="G25"/>
      <c r="H25"/>
    </row>
    <row r="26" spans="1:23" s="12" customFormat="1">
      <c r="G26"/>
      <c r="H26"/>
    </row>
    <row r="27" spans="1:23" s="12" customFormat="1">
      <c r="G27"/>
      <c r="H27"/>
    </row>
    <row r="28" spans="1:23" s="12" customFormat="1">
      <c r="G28"/>
      <c r="H28"/>
    </row>
    <row r="29" spans="1:23" s="12" customFormat="1">
      <c r="G29"/>
      <c r="H29"/>
    </row>
    <row r="30" spans="1:23" s="12" customFormat="1">
      <c r="G30"/>
      <c r="H30"/>
    </row>
    <row r="31" spans="1:23" s="12" customFormat="1">
      <c r="G31"/>
      <c r="H31"/>
    </row>
    <row r="32" spans="1:23" s="12" customFormat="1">
      <c r="G32"/>
      <c r="H32"/>
    </row>
    <row r="33" spans="7:8" s="12" customFormat="1">
      <c r="G33"/>
      <c r="H33"/>
    </row>
  </sheetData>
  <printOptions headings="1" gridLines="1"/>
  <pageMargins left="0.5" right="0.5" top="0.5" bottom="0.5" header="0" footer="0"/>
  <pageSetup paperSize="5" scale="66" orientation="landscape"/>
  <legacyDrawing r:id="rId1"/>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HL35"/>
  <sheetViews>
    <sheetView workbookViewId="0">
      <selection activeCell="A24" sqref="A24:W24"/>
    </sheetView>
  </sheetViews>
  <sheetFormatPr defaultColWidth="8.85546875" defaultRowHeight="15"/>
  <cols>
    <col min="1" max="1" width="10.285156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2.7109375" bestFit="1" customWidth="1"/>
    <col min="20" max="20" width="12.85546875" bestFit="1" customWidth="1"/>
    <col min="21" max="21" width="10.42578125" bestFit="1" customWidth="1"/>
    <col min="22" max="22" width="10.85546875" bestFit="1" customWidth="1"/>
    <col min="23" max="23" width="12.85546875" bestFit="1" customWidth="1"/>
  </cols>
  <sheetData>
    <row r="1" spans="1:220" s="7" customFormat="1" ht="18.75">
      <c r="A1" s="1" t="s">
        <v>204</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72" customFormat="1">
      <c r="A3" s="105">
        <v>2022</v>
      </c>
      <c r="B3" s="66">
        <v>7</v>
      </c>
      <c r="C3" s="66">
        <v>0.33</v>
      </c>
      <c r="D3" s="106">
        <v>7.33</v>
      </c>
      <c r="E3" s="106">
        <v>16.2</v>
      </c>
      <c r="F3" s="106">
        <v>15.3</v>
      </c>
      <c r="G3" s="66">
        <v>5.67</v>
      </c>
      <c r="H3" s="66">
        <v>0.33</v>
      </c>
      <c r="I3" s="66">
        <v>74</v>
      </c>
      <c r="J3" s="66">
        <v>32</v>
      </c>
      <c r="K3" s="106">
        <v>106</v>
      </c>
      <c r="L3" s="66">
        <v>18</v>
      </c>
      <c r="M3" s="106">
        <v>92</v>
      </c>
      <c r="N3" s="66">
        <v>9</v>
      </c>
      <c r="O3" s="66">
        <v>92</v>
      </c>
      <c r="P3" s="303">
        <v>1</v>
      </c>
      <c r="Q3" s="66">
        <v>51</v>
      </c>
      <c r="R3" s="66">
        <v>0</v>
      </c>
      <c r="S3" s="326">
        <v>601425</v>
      </c>
      <c r="T3" s="398">
        <v>1579980</v>
      </c>
      <c r="U3" s="455">
        <v>1579980</v>
      </c>
      <c r="V3" s="326">
        <v>66223</v>
      </c>
      <c r="W3" s="303">
        <v>4.19E-2</v>
      </c>
    </row>
    <row r="4" spans="1:220" s="14" customFormat="1">
      <c r="A4" s="10">
        <v>2021</v>
      </c>
      <c r="B4" s="17">
        <v>7</v>
      </c>
      <c r="C4" s="17">
        <v>1</v>
      </c>
      <c r="D4" s="23">
        <v>8</v>
      </c>
      <c r="E4" s="82">
        <v>15</v>
      </c>
      <c r="F4" s="82">
        <v>13</v>
      </c>
      <c r="G4" s="17">
        <v>7</v>
      </c>
      <c r="H4" s="17">
        <v>1</v>
      </c>
      <c r="I4" s="17">
        <v>83</v>
      </c>
      <c r="J4" s="17">
        <v>44</v>
      </c>
      <c r="K4" s="23">
        <v>127</v>
      </c>
      <c r="L4" s="17">
        <v>23</v>
      </c>
      <c r="M4" s="82">
        <v>106</v>
      </c>
      <c r="N4" s="17">
        <v>14</v>
      </c>
      <c r="O4" s="17">
        <v>106</v>
      </c>
      <c r="P4" s="133">
        <v>1</v>
      </c>
      <c r="Q4" s="17">
        <v>34</v>
      </c>
      <c r="R4" s="17">
        <v>0</v>
      </c>
      <c r="S4" s="20">
        <v>701586</v>
      </c>
      <c r="T4" s="24">
        <v>1623066</v>
      </c>
      <c r="U4" s="20">
        <v>1623066</v>
      </c>
      <c r="V4" s="20">
        <v>0</v>
      </c>
      <c r="W4" s="135">
        <v>0</v>
      </c>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row>
    <row r="5" spans="1:220" s="14" customFormat="1">
      <c r="A5" s="10">
        <v>2020</v>
      </c>
      <c r="B5" s="17">
        <v>8</v>
      </c>
      <c r="C5" s="17">
        <v>1</v>
      </c>
      <c r="D5" s="23">
        <v>9</v>
      </c>
      <c r="E5" s="82">
        <v>12</v>
      </c>
      <c r="F5" s="82">
        <v>12</v>
      </c>
      <c r="G5" s="17">
        <v>8</v>
      </c>
      <c r="H5" s="17">
        <v>1</v>
      </c>
      <c r="I5" s="17">
        <v>92</v>
      </c>
      <c r="J5" s="17">
        <v>39</v>
      </c>
      <c r="K5" s="23">
        <v>131</v>
      </c>
      <c r="L5" s="17">
        <v>20</v>
      </c>
      <c r="M5" s="82">
        <v>112</v>
      </c>
      <c r="N5" s="17">
        <v>14</v>
      </c>
      <c r="O5" s="17">
        <v>112</v>
      </c>
      <c r="P5" s="133">
        <v>1</v>
      </c>
      <c r="Q5" s="17">
        <v>37</v>
      </c>
      <c r="R5" s="17">
        <v>0</v>
      </c>
      <c r="S5" s="20">
        <v>738543</v>
      </c>
      <c r="T5" s="24">
        <v>1476815</v>
      </c>
      <c r="U5" s="20">
        <v>1476815</v>
      </c>
      <c r="V5" s="20">
        <v>0</v>
      </c>
      <c r="W5" s="135">
        <f t="shared" ref="W5" si="0">V5/T5</f>
        <v>0</v>
      </c>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row>
    <row r="6" spans="1:220" s="14" customFormat="1">
      <c r="A6" s="10">
        <v>2019</v>
      </c>
      <c r="B6" s="17">
        <v>8</v>
      </c>
      <c r="C6" s="17">
        <v>1</v>
      </c>
      <c r="D6" s="23">
        <f>SUM(B6:C6)</f>
        <v>9</v>
      </c>
      <c r="E6" s="82">
        <f>ROUND((O6/B6), 0)</f>
        <v>14</v>
      </c>
      <c r="F6" s="82">
        <f>ROUND((O6/D6), 0)</f>
        <v>13</v>
      </c>
      <c r="G6" s="17">
        <v>6.59</v>
      </c>
      <c r="H6" s="17">
        <v>1</v>
      </c>
      <c r="I6" s="17">
        <v>87</v>
      </c>
      <c r="J6" s="17">
        <v>47</v>
      </c>
      <c r="K6" s="23">
        <f>SUM(I6:J6)</f>
        <v>134</v>
      </c>
      <c r="L6" s="17">
        <v>24</v>
      </c>
      <c r="M6" s="82">
        <f>(I6+L6)</f>
        <v>111</v>
      </c>
      <c r="N6" s="17">
        <v>13</v>
      </c>
      <c r="O6" s="17">
        <v>113</v>
      </c>
      <c r="P6" s="133">
        <f>M6/O6</f>
        <v>0.98230088495575218</v>
      </c>
      <c r="Q6" s="17">
        <v>56</v>
      </c>
      <c r="R6" s="17">
        <v>0</v>
      </c>
      <c r="S6" s="20">
        <v>800515</v>
      </c>
      <c r="T6" s="24">
        <f>SUM(U6:V6)</f>
        <v>1390961</v>
      </c>
      <c r="U6" s="20">
        <v>1390961</v>
      </c>
      <c r="V6" s="20">
        <v>0</v>
      </c>
      <c r="W6" s="135">
        <f>V6/T6</f>
        <v>0</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8</v>
      </c>
      <c r="C7" s="17">
        <v>0.6</v>
      </c>
      <c r="D7" s="23">
        <f>SUM(B7:C7)</f>
        <v>8.6</v>
      </c>
      <c r="E7" s="82">
        <f>ROUND((O7/B7), 0)</f>
        <v>12</v>
      </c>
      <c r="F7" s="82">
        <f>ROUND((O7/D7), 0)</f>
        <v>11</v>
      </c>
      <c r="G7" s="17">
        <v>6.17</v>
      </c>
      <c r="H7" s="17">
        <v>0.6</v>
      </c>
      <c r="I7" s="17">
        <v>79</v>
      </c>
      <c r="J7" s="17">
        <v>40</v>
      </c>
      <c r="K7" s="23">
        <f t="shared" ref="K7" si="1">SUM(I7:J7)</f>
        <v>119</v>
      </c>
      <c r="L7" s="17">
        <v>13</v>
      </c>
      <c r="M7" s="82">
        <f>(I7+L7)</f>
        <v>92</v>
      </c>
      <c r="N7" s="17">
        <v>15</v>
      </c>
      <c r="O7" s="17">
        <v>95</v>
      </c>
      <c r="P7" s="133">
        <f>M7/O7</f>
        <v>0.96842105263157896</v>
      </c>
      <c r="Q7" s="17">
        <v>57</v>
      </c>
      <c r="R7" s="17">
        <v>0</v>
      </c>
      <c r="S7" s="20">
        <v>1092059</v>
      </c>
      <c r="T7" s="24">
        <f>SUM(U7:V7)</f>
        <v>1423574</v>
      </c>
      <c r="U7" s="20">
        <v>1423574</v>
      </c>
      <c r="V7" s="20">
        <v>0</v>
      </c>
      <c r="W7" s="135">
        <f>V7/T7</f>
        <v>0</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8</v>
      </c>
      <c r="C8" s="17">
        <v>0.4</v>
      </c>
      <c r="D8" s="27">
        <f>SUM(B8:C8)</f>
        <v>8.4</v>
      </c>
      <c r="E8" s="27">
        <f t="shared" ref="E8:E20" si="2">ROUND((O8/B8), 0)</f>
        <v>14</v>
      </c>
      <c r="F8" s="27">
        <f t="shared" ref="F8:F20" si="3">ROUND((O8/D8), 0)</f>
        <v>14</v>
      </c>
      <c r="G8" s="17">
        <v>8</v>
      </c>
      <c r="H8" s="17">
        <v>0.4</v>
      </c>
      <c r="I8" s="17">
        <v>90</v>
      </c>
      <c r="J8" s="17">
        <v>49</v>
      </c>
      <c r="K8" s="27">
        <f>SUM(I8:J8)</f>
        <v>139</v>
      </c>
      <c r="L8" s="17">
        <v>25</v>
      </c>
      <c r="M8" s="29">
        <f>(I8+L8)</f>
        <v>115</v>
      </c>
      <c r="N8" s="255">
        <v>12</v>
      </c>
      <c r="O8" s="255">
        <f>M8</f>
        <v>115</v>
      </c>
      <c r="P8" s="133">
        <f t="shared" ref="P8:P19" si="4">M8/O8</f>
        <v>1</v>
      </c>
      <c r="Q8" s="17">
        <v>30</v>
      </c>
      <c r="R8" s="17">
        <v>0</v>
      </c>
      <c r="S8" s="223">
        <v>1035949</v>
      </c>
      <c r="T8" s="28">
        <f>SUM(U8:V8)</f>
        <v>1466109</v>
      </c>
      <c r="U8" s="252">
        <f>1466109</f>
        <v>1466109</v>
      </c>
      <c r="V8" s="20">
        <v>0</v>
      </c>
      <c r="W8" s="135">
        <f t="shared" ref="W8:W20" si="5">V8/T8</f>
        <v>0</v>
      </c>
    </row>
    <row r="9" spans="1:220" s="9" customFormat="1">
      <c r="A9" s="10">
        <v>2016</v>
      </c>
      <c r="B9" s="54">
        <v>9</v>
      </c>
      <c r="C9" s="54">
        <v>0.6</v>
      </c>
      <c r="D9" s="65">
        <f>B9+C9</f>
        <v>9.6</v>
      </c>
      <c r="E9" s="13">
        <f t="shared" si="2"/>
        <v>13</v>
      </c>
      <c r="F9" s="13">
        <f t="shared" si="3"/>
        <v>12</v>
      </c>
      <c r="G9" s="54">
        <v>8</v>
      </c>
      <c r="H9" s="54">
        <v>0.6</v>
      </c>
      <c r="I9" s="54">
        <v>95</v>
      </c>
      <c r="J9" s="54">
        <v>36</v>
      </c>
      <c r="K9" s="65">
        <f>I9+J9</f>
        <v>131</v>
      </c>
      <c r="L9" s="54">
        <v>18.8</v>
      </c>
      <c r="M9" s="13">
        <f>I9+L9</f>
        <v>113.8</v>
      </c>
      <c r="N9" s="54">
        <v>11</v>
      </c>
      <c r="O9" s="54">
        <v>114</v>
      </c>
      <c r="P9" s="133">
        <f t="shared" si="4"/>
        <v>0.99824561403508771</v>
      </c>
      <c r="Q9" s="54">
        <v>49</v>
      </c>
      <c r="R9" s="54">
        <v>0</v>
      </c>
      <c r="S9" s="55">
        <v>1044968</v>
      </c>
      <c r="T9" s="68">
        <f>SUM(U9:V9)</f>
        <v>1124960</v>
      </c>
      <c r="U9" s="55">
        <v>1124960</v>
      </c>
      <c r="V9" s="55">
        <v>0</v>
      </c>
      <c r="W9" s="135">
        <f t="shared" si="5"/>
        <v>0</v>
      </c>
    </row>
    <row r="10" spans="1:220" s="16" customFormat="1">
      <c r="A10" s="57">
        <v>2015</v>
      </c>
      <c r="B10" s="70">
        <v>9</v>
      </c>
      <c r="C10" s="70">
        <v>0.4</v>
      </c>
      <c r="D10" s="65">
        <f>B10+C10</f>
        <v>9.4</v>
      </c>
      <c r="E10" s="13">
        <f t="shared" si="2"/>
        <v>20</v>
      </c>
      <c r="F10" s="13">
        <f t="shared" si="3"/>
        <v>19</v>
      </c>
      <c r="G10" s="83"/>
      <c r="H10" s="83"/>
      <c r="I10" s="70">
        <v>74</v>
      </c>
      <c r="J10" s="70">
        <v>70</v>
      </c>
      <c r="K10" s="65">
        <f>I10+J10</f>
        <v>144</v>
      </c>
      <c r="L10" s="70">
        <v>39</v>
      </c>
      <c r="M10" s="13">
        <f>I10+L10</f>
        <v>113</v>
      </c>
      <c r="N10" s="70">
        <v>10</v>
      </c>
      <c r="O10" s="70">
        <v>183</v>
      </c>
      <c r="P10" s="133">
        <f t="shared" si="4"/>
        <v>0.61748633879781423</v>
      </c>
      <c r="Q10" s="70">
        <v>65</v>
      </c>
      <c r="R10" s="70">
        <v>0</v>
      </c>
      <c r="S10" s="78">
        <v>1198839</v>
      </c>
      <c r="T10" s="79">
        <v>1140695</v>
      </c>
      <c r="U10" s="78">
        <v>1140695</v>
      </c>
      <c r="V10" s="78">
        <v>0</v>
      </c>
      <c r="W10" s="135">
        <f t="shared" si="5"/>
        <v>0</v>
      </c>
    </row>
    <row r="11" spans="1:220" s="16" customFormat="1">
      <c r="A11" s="15">
        <v>2014</v>
      </c>
      <c r="B11" s="70">
        <v>9</v>
      </c>
      <c r="C11" s="70">
        <v>1</v>
      </c>
      <c r="D11" s="65">
        <f>B11+C11</f>
        <v>10</v>
      </c>
      <c r="E11" s="13">
        <f t="shared" si="2"/>
        <v>15</v>
      </c>
      <c r="F11" s="13">
        <f t="shared" si="3"/>
        <v>13</v>
      </c>
      <c r="G11" s="83"/>
      <c r="H11" s="83"/>
      <c r="I11" s="70">
        <v>92</v>
      </c>
      <c r="J11" s="70">
        <v>70</v>
      </c>
      <c r="K11" s="65">
        <f>I11+J11</f>
        <v>162</v>
      </c>
      <c r="L11" s="70">
        <v>40</v>
      </c>
      <c r="M11" s="13">
        <f>I11+L11</f>
        <v>132</v>
      </c>
      <c r="N11" s="70">
        <v>13</v>
      </c>
      <c r="O11" s="70">
        <v>132</v>
      </c>
      <c r="P11" s="133">
        <f t="shared" si="4"/>
        <v>1</v>
      </c>
      <c r="Q11" s="70">
        <v>46</v>
      </c>
      <c r="R11" s="70">
        <v>0</v>
      </c>
      <c r="S11" s="71">
        <v>1179522</v>
      </c>
      <c r="T11" s="68">
        <f t="shared" ref="T11:T20" si="6">SUM(U11:V11)</f>
        <v>1128447</v>
      </c>
      <c r="U11" s="71">
        <v>1128447</v>
      </c>
      <c r="V11" s="71">
        <v>0</v>
      </c>
      <c r="W11" s="135">
        <f t="shared" si="5"/>
        <v>0</v>
      </c>
    </row>
    <row r="12" spans="1:220">
      <c r="A12" s="15">
        <v>2013</v>
      </c>
      <c r="B12" s="528">
        <v>9</v>
      </c>
      <c r="C12" s="528">
        <v>1.4</v>
      </c>
      <c r="D12" s="23">
        <f>B12+C12</f>
        <v>10.4</v>
      </c>
      <c r="E12" s="82">
        <f t="shared" si="2"/>
        <v>17</v>
      </c>
      <c r="F12" s="82">
        <f t="shared" si="3"/>
        <v>15</v>
      </c>
      <c r="G12" s="85"/>
      <c r="H12" s="85"/>
      <c r="I12" s="528">
        <v>115</v>
      </c>
      <c r="J12" s="528">
        <v>73</v>
      </c>
      <c r="K12" s="23">
        <f>I12+J12</f>
        <v>188</v>
      </c>
      <c r="L12" s="528">
        <v>40</v>
      </c>
      <c r="M12" s="82">
        <f>I12+L12</f>
        <v>155</v>
      </c>
      <c r="N12" s="528">
        <v>10</v>
      </c>
      <c r="O12" s="528">
        <v>155</v>
      </c>
      <c r="P12" s="133">
        <f t="shared" si="4"/>
        <v>1</v>
      </c>
      <c r="Q12" s="528">
        <v>61</v>
      </c>
      <c r="R12" s="528">
        <v>0</v>
      </c>
      <c r="S12" s="84">
        <v>1110951</v>
      </c>
      <c r="T12" s="24">
        <f t="shared" si="6"/>
        <v>1071705</v>
      </c>
      <c r="U12" s="84">
        <v>1071705</v>
      </c>
      <c r="V12" s="84">
        <v>0</v>
      </c>
      <c r="W12" s="135">
        <f t="shared" si="5"/>
        <v>0</v>
      </c>
    </row>
    <row r="13" spans="1:220">
      <c r="A13" s="15">
        <v>2012</v>
      </c>
      <c r="B13" s="528">
        <v>9</v>
      </c>
      <c r="C13" s="528">
        <v>1.2</v>
      </c>
      <c r="D13" s="23">
        <f>B13+C13</f>
        <v>10.199999999999999</v>
      </c>
      <c r="E13" s="82">
        <f t="shared" si="2"/>
        <v>16</v>
      </c>
      <c r="F13" s="82">
        <f t="shared" si="3"/>
        <v>14</v>
      </c>
      <c r="G13" s="85"/>
      <c r="H13" s="85"/>
      <c r="I13" s="528">
        <v>115</v>
      </c>
      <c r="J13" s="528">
        <v>70</v>
      </c>
      <c r="K13" s="23">
        <f>I13+J13</f>
        <v>185</v>
      </c>
      <c r="L13" s="528">
        <v>26</v>
      </c>
      <c r="M13" s="82">
        <f>I13+L13</f>
        <v>141</v>
      </c>
      <c r="N13" s="528">
        <v>14</v>
      </c>
      <c r="O13" s="528">
        <v>141</v>
      </c>
      <c r="P13" s="133">
        <f t="shared" si="4"/>
        <v>1</v>
      </c>
      <c r="Q13" s="528">
        <v>48</v>
      </c>
      <c r="R13" s="528">
        <v>0</v>
      </c>
      <c r="S13" s="84">
        <v>1161657</v>
      </c>
      <c r="T13" s="24">
        <f t="shared" si="6"/>
        <v>1101642</v>
      </c>
      <c r="U13" s="84">
        <v>1101642</v>
      </c>
      <c r="V13" s="84">
        <v>0</v>
      </c>
      <c r="W13" s="135">
        <f t="shared" si="5"/>
        <v>0</v>
      </c>
    </row>
    <row r="14" spans="1:220">
      <c r="A14" s="15" t="s">
        <v>26</v>
      </c>
      <c r="B14" s="528">
        <v>9</v>
      </c>
      <c r="C14" s="528">
        <v>4.2</v>
      </c>
      <c r="D14" s="23">
        <f t="shared" ref="D14:D20" si="7">SUM(B14:C14)</f>
        <v>13.2</v>
      </c>
      <c r="E14" s="82">
        <f t="shared" si="2"/>
        <v>18</v>
      </c>
      <c r="F14" s="82">
        <f t="shared" si="3"/>
        <v>12</v>
      </c>
      <c r="G14" s="85"/>
      <c r="H14" s="85"/>
      <c r="I14" s="528">
        <v>125</v>
      </c>
      <c r="J14" s="528">
        <v>72</v>
      </c>
      <c r="K14" s="23">
        <f t="shared" ref="K14:K20" si="8">SUM(I14:J14)</f>
        <v>197</v>
      </c>
      <c r="L14" s="528">
        <v>35.5</v>
      </c>
      <c r="M14" s="82">
        <f t="shared" ref="M14:M20" si="9">(I14+L14)</f>
        <v>160.5</v>
      </c>
      <c r="N14" s="528">
        <v>13</v>
      </c>
      <c r="O14" s="528">
        <v>160.5</v>
      </c>
      <c r="P14" s="133">
        <f t="shared" si="4"/>
        <v>1</v>
      </c>
      <c r="Q14" s="528">
        <v>60</v>
      </c>
      <c r="R14" s="528">
        <v>0</v>
      </c>
      <c r="S14" s="84">
        <v>1035604</v>
      </c>
      <c r="T14" s="24">
        <f t="shared" si="6"/>
        <v>953351</v>
      </c>
      <c r="U14" s="84">
        <v>953351</v>
      </c>
      <c r="V14" s="84">
        <v>0</v>
      </c>
      <c r="W14" s="135">
        <f t="shared" si="5"/>
        <v>0</v>
      </c>
    </row>
    <row r="15" spans="1:220">
      <c r="A15" s="15" t="s">
        <v>27</v>
      </c>
      <c r="B15" s="528">
        <v>9</v>
      </c>
      <c r="C15" s="528">
        <v>0.6</v>
      </c>
      <c r="D15" s="23">
        <f t="shared" si="7"/>
        <v>9.6</v>
      </c>
      <c r="E15" s="82">
        <f t="shared" si="2"/>
        <v>15</v>
      </c>
      <c r="F15" s="82">
        <f t="shared" si="3"/>
        <v>14</v>
      </c>
      <c r="G15" s="85"/>
      <c r="H15" s="85"/>
      <c r="I15" s="528">
        <v>97</v>
      </c>
      <c r="J15" s="528">
        <v>76</v>
      </c>
      <c r="K15" s="23">
        <f t="shared" si="8"/>
        <v>173</v>
      </c>
      <c r="L15" s="528">
        <v>38</v>
      </c>
      <c r="M15" s="82">
        <f t="shared" si="9"/>
        <v>135</v>
      </c>
      <c r="N15" s="528">
        <v>10</v>
      </c>
      <c r="O15" s="528">
        <v>135</v>
      </c>
      <c r="P15" s="133">
        <f t="shared" si="4"/>
        <v>1</v>
      </c>
      <c r="Q15" s="528">
        <v>28</v>
      </c>
      <c r="R15" s="528">
        <v>0</v>
      </c>
      <c r="S15" s="84">
        <v>954920</v>
      </c>
      <c r="T15" s="24">
        <f t="shared" si="6"/>
        <v>954920</v>
      </c>
      <c r="U15" s="84">
        <v>880679</v>
      </c>
      <c r="V15" s="84">
        <v>74241</v>
      </c>
      <c r="W15" s="135">
        <f t="shared" si="5"/>
        <v>7.7745779751183339E-2</v>
      </c>
    </row>
    <row r="16" spans="1:220">
      <c r="A16" s="10" t="s">
        <v>28</v>
      </c>
      <c r="B16" s="528">
        <v>9</v>
      </c>
      <c r="C16" s="528">
        <v>0.83</v>
      </c>
      <c r="D16" s="23">
        <f t="shared" si="7"/>
        <v>9.83</v>
      </c>
      <c r="E16" s="82">
        <f t="shared" si="2"/>
        <v>13</v>
      </c>
      <c r="F16" s="82">
        <f t="shared" si="3"/>
        <v>12</v>
      </c>
      <c r="G16" s="85"/>
      <c r="H16" s="85"/>
      <c r="I16" s="528">
        <v>72</v>
      </c>
      <c r="J16" s="528">
        <v>87</v>
      </c>
      <c r="K16" s="23">
        <f t="shared" si="8"/>
        <v>159</v>
      </c>
      <c r="L16" s="528">
        <v>41.2</v>
      </c>
      <c r="M16" s="82">
        <f t="shared" si="9"/>
        <v>113.2</v>
      </c>
      <c r="N16" s="528">
        <v>12</v>
      </c>
      <c r="O16" s="528">
        <v>114.2</v>
      </c>
      <c r="P16" s="133">
        <f t="shared" si="4"/>
        <v>0.99124343257443082</v>
      </c>
      <c r="Q16" s="528">
        <v>21</v>
      </c>
      <c r="R16" s="528">
        <v>0</v>
      </c>
      <c r="S16" s="84">
        <v>863852</v>
      </c>
      <c r="T16" s="24">
        <f t="shared" si="6"/>
        <v>863852</v>
      </c>
      <c r="U16" s="84">
        <v>661500</v>
      </c>
      <c r="V16" s="84">
        <v>202352</v>
      </c>
      <c r="W16" s="135">
        <f t="shared" si="5"/>
        <v>0.2342438288040081</v>
      </c>
    </row>
    <row r="17" spans="1:57">
      <c r="A17" s="15" t="s">
        <v>29</v>
      </c>
      <c r="B17" s="528">
        <v>8</v>
      </c>
      <c r="C17" s="528">
        <v>2.6669999999999998</v>
      </c>
      <c r="D17" s="23">
        <f t="shared" si="7"/>
        <v>10.667</v>
      </c>
      <c r="E17" s="82">
        <f t="shared" si="2"/>
        <v>23</v>
      </c>
      <c r="F17" s="82">
        <f t="shared" si="3"/>
        <v>17</v>
      </c>
      <c r="G17" s="85"/>
      <c r="H17" s="85"/>
      <c r="I17" s="528">
        <v>139</v>
      </c>
      <c r="J17" s="528">
        <v>81</v>
      </c>
      <c r="K17" s="23">
        <f t="shared" si="8"/>
        <v>220</v>
      </c>
      <c r="L17" s="528">
        <v>41</v>
      </c>
      <c r="M17" s="82">
        <f t="shared" si="9"/>
        <v>180</v>
      </c>
      <c r="N17" s="528">
        <v>11</v>
      </c>
      <c r="O17" s="528">
        <v>180</v>
      </c>
      <c r="P17" s="133">
        <f t="shared" si="4"/>
        <v>1</v>
      </c>
      <c r="Q17" s="528">
        <v>4</v>
      </c>
      <c r="R17" s="528">
        <v>0</v>
      </c>
      <c r="S17" s="84">
        <v>778295.76</v>
      </c>
      <c r="T17" s="24">
        <f t="shared" si="6"/>
        <v>930701</v>
      </c>
      <c r="U17" s="84">
        <v>651887</v>
      </c>
      <c r="V17" s="84">
        <v>278814</v>
      </c>
      <c r="W17" s="135">
        <f t="shared" si="5"/>
        <v>0.29957419192630069</v>
      </c>
    </row>
    <row r="18" spans="1:57" s="73" customFormat="1">
      <c r="A18" s="15">
        <v>2007</v>
      </c>
      <c r="B18" s="528">
        <v>8</v>
      </c>
      <c r="C18" s="528">
        <v>0</v>
      </c>
      <c r="D18" s="23">
        <f t="shared" si="7"/>
        <v>8</v>
      </c>
      <c r="E18" s="82">
        <f t="shared" si="2"/>
        <v>14</v>
      </c>
      <c r="F18" s="82">
        <f t="shared" si="3"/>
        <v>14</v>
      </c>
      <c r="G18" s="85"/>
      <c r="H18" s="85"/>
      <c r="I18" s="528">
        <v>88</v>
      </c>
      <c r="J18" s="528">
        <v>46</v>
      </c>
      <c r="K18" s="23">
        <f t="shared" si="8"/>
        <v>134</v>
      </c>
      <c r="L18" s="528">
        <v>23</v>
      </c>
      <c r="M18" s="82">
        <f t="shared" si="9"/>
        <v>111</v>
      </c>
      <c r="N18" s="528">
        <v>5</v>
      </c>
      <c r="O18" s="528">
        <v>111</v>
      </c>
      <c r="P18" s="133">
        <f t="shared" si="4"/>
        <v>1</v>
      </c>
      <c r="Q18" s="528">
        <v>0</v>
      </c>
      <c r="R18" s="528">
        <v>0</v>
      </c>
      <c r="S18" s="132">
        <v>735709</v>
      </c>
      <c r="T18" s="24">
        <f t="shared" si="6"/>
        <v>735709</v>
      </c>
      <c r="U18" s="132">
        <v>735709</v>
      </c>
      <c r="V18" s="76">
        <v>0</v>
      </c>
      <c r="W18" s="135">
        <f t="shared" si="5"/>
        <v>0</v>
      </c>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57" s="73" customFormat="1">
      <c r="A19" s="15">
        <v>2006</v>
      </c>
      <c r="B19" s="528">
        <v>8.5</v>
      </c>
      <c r="C19" s="528">
        <v>1.3360000000000001</v>
      </c>
      <c r="D19" s="23">
        <f t="shared" si="7"/>
        <v>9.8360000000000003</v>
      </c>
      <c r="E19" s="82">
        <f t="shared" si="2"/>
        <v>6</v>
      </c>
      <c r="F19" s="82">
        <f t="shared" si="3"/>
        <v>5</v>
      </c>
      <c r="G19" s="85"/>
      <c r="H19" s="85"/>
      <c r="I19" s="528">
        <v>38</v>
      </c>
      <c r="J19" s="528">
        <v>23</v>
      </c>
      <c r="K19" s="23">
        <f t="shared" si="8"/>
        <v>61</v>
      </c>
      <c r="L19" s="528">
        <v>12</v>
      </c>
      <c r="M19" s="82">
        <f t="shared" si="9"/>
        <v>50</v>
      </c>
      <c r="N19" s="528">
        <v>3</v>
      </c>
      <c r="O19" s="528">
        <v>50</v>
      </c>
      <c r="P19" s="133">
        <f t="shared" si="4"/>
        <v>1</v>
      </c>
      <c r="Q19" s="528">
        <v>0</v>
      </c>
      <c r="R19" s="528">
        <v>0</v>
      </c>
      <c r="S19" s="132">
        <v>482920.06</v>
      </c>
      <c r="T19" s="24">
        <f t="shared" si="6"/>
        <v>482920</v>
      </c>
      <c r="U19" s="132">
        <v>482920</v>
      </c>
      <c r="V19" s="132">
        <v>0</v>
      </c>
      <c r="W19" s="135">
        <f t="shared" si="5"/>
        <v>0</v>
      </c>
      <c r="X19"/>
      <c r="Y19"/>
      <c r="Z19"/>
      <c r="AA19"/>
      <c r="AB19"/>
      <c r="AC19"/>
      <c r="AD19"/>
      <c r="AE19"/>
      <c r="AF19"/>
      <c r="AG19"/>
      <c r="AH19"/>
      <c r="AI19"/>
      <c r="AJ19"/>
      <c r="AK19"/>
      <c r="AL19"/>
      <c r="AM19"/>
      <c r="AN19"/>
      <c r="AO19"/>
      <c r="AP19"/>
      <c r="AQ19"/>
      <c r="AR19"/>
      <c r="AS19"/>
      <c r="AT19"/>
      <c r="AU19"/>
      <c r="AV19"/>
      <c r="AW19"/>
      <c r="AX19"/>
      <c r="AY19"/>
      <c r="AZ19"/>
      <c r="BA19"/>
      <c r="BB19"/>
      <c r="BC19"/>
      <c r="BD19"/>
      <c r="BE19"/>
    </row>
    <row r="20" spans="1:57" s="263" customFormat="1">
      <c r="A20" s="15">
        <v>2005</v>
      </c>
      <c r="B20" s="528">
        <v>5</v>
      </c>
      <c r="C20" s="528">
        <v>3</v>
      </c>
      <c r="D20" s="23">
        <f t="shared" si="7"/>
        <v>8</v>
      </c>
      <c r="E20" s="82">
        <f t="shared" si="2"/>
        <v>0</v>
      </c>
      <c r="F20" s="82">
        <f t="shared" si="3"/>
        <v>0</v>
      </c>
      <c r="G20" s="85"/>
      <c r="H20" s="85"/>
      <c r="I20" s="528">
        <v>0</v>
      </c>
      <c r="J20" s="528">
        <v>0</v>
      </c>
      <c r="K20" s="23">
        <f t="shared" si="8"/>
        <v>0</v>
      </c>
      <c r="L20" s="528">
        <v>0</v>
      </c>
      <c r="M20" s="82">
        <f t="shared" si="9"/>
        <v>0</v>
      </c>
      <c r="N20" s="528">
        <v>0</v>
      </c>
      <c r="O20" s="528">
        <v>0</v>
      </c>
      <c r="P20" s="228" t="s">
        <v>40</v>
      </c>
      <c r="Q20" s="528">
        <v>0</v>
      </c>
      <c r="R20" s="528">
        <v>0</v>
      </c>
      <c r="S20" s="132">
        <v>512118.66</v>
      </c>
      <c r="T20" s="24">
        <f t="shared" si="6"/>
        <v>512118.66</v>
      </c>
      <c r="U20" s="132">
        <v>512118.66</v>
      </c>
      <c r="V20" s="132">
        <v>0</v>
      </c>
      <c r="W20" s="135">
        <f t="shared" si="5"/>
        <v>0</v>
      </c>
      <c r="X20"/>
      <c r="Y20"/>
      <c r="Z20"/>
      <c r="AA20"/>
      <c r="AB20"/>
      <c r="AC20"/>
      <c r="AD20"/>
      <c r="AE20"/>
      <c r="AF20"/>
      <c r="AG20"/>
      <c r="AH20"/>
      <c r="AI20"/>
      <c r="AJ20"/>
      <c r="AK20"/>
      <c r="AL20"/>
      <c r="AM20"/>
      <c r="AN20"/>
      <c r="AO20"/>
      <c r="AP20"/>
      <c r="AQ20"/>
      <c r="AR20"/>
      <c r="AS20"/>
      <c r="AT20"/>
      <c r="AU20"/>
      <c r="AV20"/>
      <c r="AW20"/>
      <c r="AX20"/>
      <c r="AY20"/>
      <c r="AZ20"/>
      <c r="BA20"/>
      <c r="BB20"/>
      <c r="BC20"/>
      <c r="BD20"/>
      <c r="BE20"/>
    </row>
    <row r="21" spans="1:57">
      <c r="A21" s="570" t="s">
        <v>205</v>
      </c>
      <c r="B21" s="570"/>
      <c r="C21" s="570"/>
      <c r="D21" s="570"/>
      <c r="E21" s="570"/>
      <c r="F21" s="570"/>
      <c r="G21" s="570"/>
      <c r="H21" s="570"/>
      <c r="I21" s="570"/>
      <c r="J21" s="570"/>
      <c r="K21" s="570"/>
      <c r="L21" s="570"/>
      <c r="M21" s="570"/>
      <c r="N21" s="570"/>
      <c r="O21" s="570"/>
      <c r="P21" s="570"/>
      <c r="Q21" s="570"/>
      <c r="R21" s="570"/>
      <c r="S21" s="570"/>
      <c r="T21" s="570"/>
      <c r="U21" s="570"/>
      <c r="V21" s="456"/>
      <c r="W21" s="457"/>
    </row>
    <row r="22" spans="1:57">
      <c r="A22" s="569" t="s">
        <v>206</v>
      </c>
      <c r="B22" s="569"/>
      <c r="C22" s="569"/>
      <c r="D22" s="569"/>
      <c r="E22" s="569"/>
      <c r="F22" s="569"/>
      <c r="G22" s="569"/>
      <c r="H22" s="569"/>
      <c r="I22" s="569"/>
      <c r="J22" s="569"/>
      <c r="K22" s="569"/>
      <c r="L22" s="569"/>
      <c r="M22" s="569"/>
      <c r="N22" s="569"/>
      <c r="O22" s="569"/>
      <c r="P22" s="569"/>
      <c r="Q22" s="569"/>
      <c r="R22" s="569"/>
      <c r="S22" s="569"/>
      <c r="T22" s="569"/>
      <c r="U22" s="569"/>
      <c r="V22" s="569"/>
      <c r="W22" s="569"/>
    </row>
    <row r="23" spans="1:57">
      <c r="A23" s="569" t="s">
        <v>207</v>
      </c>
      <c r="B23" s="569"/>
      <c r="C23" s="569"/>
      <c r="D23" s="569"/>
      <c r="E23" s="569"/>
      <c r="F23" s="569"/>
      <c r="G23" s="569"/>
      <c r="H23" s="569"/>
      <c r="I23" s="569"/>
      <c r="J23" s="569"/>
      <c r="K23" s="569"/>
      <c r="L23" s="569"/>
      <c r="M23" s="569"/>
      <c r="N23" s="569"/>
      <c r="O23" s="569"/>
      <c r="P23" s="569"/>
      <c r="Q23" s="569"/>
      <c r="R23" s="569"/>
      <c r="S23" s="569"/>
      <c r="T23" s="569"/>
      <c r="U23" s="569"/>
      <c r="V23" s="569"/>
      <c r="W23" s="569"/>
    </row>
    <row r="24" spans="1:57">
      <c r="A24" s="550" t="s">
        <v>208</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57" s="93" customFormat="1">
      <c r="A25" s="537" t="s">
        <v>209</v>
      </c>
      <c r="B25" s="538"/>
      <c r="C25" s="538"/>
      <c r="D25" s="538"/>
      <c r="E25" s="538"/>
      <c r="F25" s="538"/>
      <c r="G25" s="538"/>
      <c r="H25" s="538"/>
      <c r="I25" s="538"/>
      <c r="J25" s="538"/>
      <c r="K25" s="538"/>
      <c r="L25" s="538"/>
      <c r="M25" s="538"/>
      <c r="N25" s="538"/>
      <c r="O25" s="538"/>
      <c r="P25" s="538"/>
      <c r="Q25" s="538"/>
      <c r="R25" s="538"/>
      <c r="S25" s="538"/>
      <c r="T25" s="538"/>
      <c r="U25" s="538"/>
      <c r="V25" s="538"/>
      <c r="W25" s="538"/>
    </row>
    <row r="26" spans="1:57" s="12" customFormat="1">
      <c r="G26"/>
      <c r="H26"/>
    </row>
    <row r="27" spans="1:57" s="12" customFormat="1">
      <c r="G27"/>
      <c r="H27"/>
      <c r="S27" s="264"/>
    </row>
    <row r="28" spans="1:57" s="12" customFormat="1">
      <c r="G28"/>
      <c r="H28"/>
    </row>
    <row r="29" spans="1:57" s="12" customFormat="1">
      <c r="G29"/>
      <c r="H29"/>
    </row>
    <row r="30" spans="1:57" s="12" customFormat="1">
      <c r="G30"/>
      <c r="H30"/>
    </row>
    <row r="31" spans="1:57" s="12" customFormat="1">
      <c r="G31"/>
      <c r="H31"/>
    </row>
    <row r="32" spans="1:57" s="12" customFormat="1">
      <c r="G32"/>
      <c r="H32"/>
    </row>
    <row r="33" spans="7:8" s="12" customFormat="1">
      <c r="G33"/>
      <c r="H33"/>
    </row>
    <row r="34" spans="7:8" s="12" customFormat="1">
      <c r="G34"/>
      <c r="H34"/>
    </row>
    <row r="35" spans="7:8" s="12" customFormat="1">
      <c r="G35"/>
      <c r="H35"/>
    </row>
  </sheetData>
  <mergeCells count="5">
    <mergeCell ref="A23:W23"/>
    <mergeCell ref="A24:W24"/>
    <mergeCell ref="A25:W25"/>
    <mergeCell ref="A22:W22"/>
    <mergeCell ref="A21:U21"/>
  </mergeCells>
  <printOptions headings="1" gridLines="1"/>
  <pageMargins left="0.5" right="0.5" top="0.5" bottom="0.5" header="0" footer="0"/>
  <pageSetup paperSize="5" scale="67" orientation="landscape" r:id="rId1"/>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L33"/>
  <sheetViews>
    <sheetView workbookViewId="0">
      <selection activeCell="A3" sqref="A3:XFD3"/>
    </sheetView>
  </sheetViews>
  <sheetFormatPr defaultColWidth="8.85546875" defaultRowHeight="15"/>
  <cols>
    <col min="1" max="1" width="9"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42578125" bestFit="1" customWidth="1"/>
    <col min="22" max="22" width="10.85546875" bestFit="1" customWidth="1"/>
    <col min="23" max="23" width="12.85546875" bestFit="1" customWidth="1"/>
  </cols>
  <sheetData>
    <row r="1" spans="1:220" s="7" customFormat="1" ht="18.75">
      <c r="A1" s="1" t="s">
        <v>210</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6" customFormat="1">
      <c r="A3" s="5"/>
      <c r="B3" s="5"/>
      <c r="C3" s="5"/>
      <c r="D3" s="5"/>
      <c r="E3" s="5"/>
      <c r="F3" s="5"/>
      <c r="G3" s="5"/>
      <c r="H3" s="5"/>
      <c r="I3" s="5"/>
      <c r="J3" s="5"/>
      <c r="K3" s="5"/>
      <c r="L3" s="5"/>
      <c r="M3" s="5"/>
      <c r="N3" s="5"/>
      <c r="O3" s="5"/>
      <c r="P3" s="5"/>
      <c r="Q3" s="5"/>
      <c r="R3" s="5"/>
      <c r="S3" s="3"/>
      <c r="T3" s="5"/>
      <c r="U3" s="3"/>
      <c r="V3" s="5"/>
      <c r="W3" s="5"/>
    </row>
    <row r="4" spans="1:220" s="6" customFormat="1">
      <c r="A4" s="5">
        <v>2021</v>
      </c>
      <c r="B4" s="66">
        <v>5</v>
      </c>
      <c r="C4" s="66">
        <v>1</v>
      </c>
      <c r="D4" s="106">
        <f>SUM(B4:C4)</f>
        <v>6</v>
      </c>
      <c r="E4" s="106">
        <f>ROUND(O4/B4,0)</f>
        <v>16</v>
      </c>
      <c r="F4" s="106">
        <f>ROUND(O4/D4,0)</f>
        <v>13</v>
      </c>
      <c r="G4" s="66">
        <v>5</v>
      </c>
      <c r="H4" s="66">
        <v>1</v>
      </c>
      <c r="I4" s="66">
        <v>13</v>
      </c>
      <c r="J4" s="66">
        <v>104</v>
      </c>
      <c r="K4" s="106">
        <f>SUM(I4:J4)</f>
        <v>117</v>
      </c>
      <c r="L4" s="66">
        <v>64</v>
      </c>
      <c r="M4" s="106">
        <f>I4+L4</f>
        <v>77</v>
      </c>
      <c r="N4" s="66">
        <v>26</v>
      </c>
      <c r="O4" s="66">
        <v>78.67</v>
      </c>
      <c r="P4" s="336">
        <f>M4/O4</f>
        <v>0.97877208592856235</v>
      </c>
      <c r="Q4" s="66">
        <v>53</v>
      </c>
      <c r="R4" s="66">
        <v>3</v>
      </c>
      <c r="S4" s="300">
        <v>1455978</v>
      </c>
      <c r="T4" s="297">
        <f t="shared" ref="T4" si="0">SUM(U4:V4)</f>
        <v>1455978</v>
      </c>
      <c r="U4" s="300">
        <v>1455978</v>
      </c>
      <c r="V4" s="304">
        <v>0</v>
      </c>
      <c r="W4" s="337">
        <f>V4/T4</f>
        <v>0</v>
      </c>
    </row>
    <row r="5" spans="1:220" s="338" customFormat="1">
      <c r="A5" s="10">
        <v>2020</v>
      </c>
      <c r="B5" s="66">
        <v>5</v>
      </c>
      <c r="C5" s="66">
        <v>1</v>
      </c>
      <c r="D5" s="106">
        <f>SUM(B5:C5)</f>
        <v>6</v>
      </c>
      <c r="E5" s="106">
        <f>ROUND(O5/B5,0)</f>
        <v>17</v>
      </c>
      <c r="F5" s="106">
        <f>ROUND(O5/D5,0)</f>
        <v>14</v>
      </c>
      <c r="G5" s="66">
        <v>5</v>
      </c>
      <c r="H5" s="66">
        <v>1</v>
      </c>
      <c r="I5" s="66">
        <v>16</v>
      </c>
      <c r="J5" s="66">
        <v>116</v>
      </c>
      <c r="K5" s="106">
        <f>SUM(I5:J5)</f>
        <v>132</v>
      </c>
      <c r="L5" s="66">
        <v>67</v>
      </c>
      <c r="M5" s="106">
        <f>I5+L5</f>
        <v>83</v>
      </c>
      <c r="N5" s="66">
        <v>31</v>
      </c>
      <c r="O5" s="66">
        <v>85</v>
      </c>
      <c r="P5" s="336">
        <f>M5/O5</f>
        <v>0.97647058823529409</v>
      </c>
      <c r="Q5" s="66">
        <v>26</v>
      </c>
      <c r="R5" s="66">
        <v>0</v>
      </c>
      <c r="S5" s="300">
        <v>1551031</v>
      </c>
      <c r="T5" s="297">
        <f>SUM(U5:V5)</f>
        <v>1551031</v>
      </c>
      <c r="U5" s="304">
        <v>1551031</v>
      </c>
      <c r="V5" s="304">
        <v>0</v>
      </c>
      <c r="W5" s="337">
        <f>V5/T5</f>
        <v>0</v>
      </c>
    </row>
    <row r="6" spans="1:220" s="338" customFormat="1">
      <c r="A6" s="10">
        <v>2019</v>
      </c>
      <c r="B6" s="66">
        <v>5</v>
      </c>
      <c r="C6" s="66">
        <v>2</v>
      </c>
      <c r="D6" s="106">
        <f>SUM(B6:C6)</f>
        <v>7</v>
      </c>
      <c r="E6" s="106">
        <f>ROUND(M6/B6,0)</f>
        <v>18</v>
      </c>
      <c r="F6" s="106">
        <f>ROUND(M6/D6,0)</f>
        <v>13</v>
      </c>
      <c r="G6" s="66">
        <v>5</v>
      </c>
      <c r="H6" s="66">
        <v>2</v>
      </c>
      <c r="I6" s="66">
        <v>21</v>
      </c>
      <c r="J6" s="66">
        <v>116</v>
      </c>
      <c r="K6" s="106">
        <f>SUM(I6:J6)</f>
        <v>137</v>
      </c>
      <c r="L6" s="66">
        <v>67</v>
      </c>
      <c r="M6" s="106">
        <f>I6+L6</f>
        <v>88</v>
      </c>
      <c r="N6" s="66">
        <v>29</v>
      </c>
      <c r="O6" s="66">
        <v>92.33</v>
      </c>
      <c r="P6" s="336">
        <f>M6/O6</f>
        <v>0.95310300010830717</v>
      </c>
      <c r="Q6" s="66">
        <v>29</v>
      </c>
      <c r="R6" s="66">
        <v>0</v>
      </c>
      <c r="S6" s="300">
        <v>1671994</v>
      </c>
      <c r="T6" s="106">
        <f>SUM(U6:V6)</f>
        <v>1671994</v>
      </c>
      <c r="U6" s="304">
        <v>1663994</v>
      </c>
      <c r="V6" s="304">
        <v>8000</v>
      </c>
      <c r="W6" s="337">
        <f>V6/T6</f>
        <v>4.7847061652135118E-3</v>
      </c>
    </row>
    <row r="7" spans="1:220" s="14" customFormat="1">
      <c r="A7" s="10">
        <v>2018</v>
      </c>
      <c r="B7" s="17">
        <v>5</v>
      </c>
      <c r="C7" s="17">
        <v>2</v>
      </c>
      <c r="D7" s="23">
        <f>SUM(B7:C7)</f>
        <v>7</v>
      </c>
      <c r="E7" s="82">
        <f>ROUND((O7/B7), 0)</f>
        <v>17</v>
      </c>
      <c r="F7" s="82">
        <f>ROUND((O7/D7), 0)</f>
        <v>12</v>
      </c>
      <c r="G7" s="17">
        <v>5</v>
      </c>
      <c r="H7" s="17">
        <v>2</v>
      </c>
      <c r="I7" s="17">
        <v>29</v>
      </c>
      <c r="J7" s="17">
        <v>83</v>
      </c>
      <c r="K7" s="23">
        <f t="shared" ref="K7" si="1">SUM(I7:J7)</f>
        <v>112</v>
      </c>
      <c r="L7" s="17">
        <v>51.99</v>
      </c>
      <c r="M7" s="82">
        <f>(I7+L7)</f>
        <v>80.990000000000009</v>
      </c>
      <c r="N7" s="17">
        <v>25</v>
      </c>
      <c r="O7" s="17">
        <v>84.99</v>
      </c>
      <c r="P7" s="133">
        <f>M7/O7</f>
        <v>0.95293563948699866</v>
      </c>
      <c r="Q7" s="17">
        <v>23</v>
      </c>
      <c r="R7" s="17">
        <v>0</v>
      </c>
      <c r="S7" s="282">
        <v>1638451.42</v>
      </c>
      <c r="T7" s="24">
        <f>SUM(U7:V7)</f>
        <v>1638451.42</v>
      </c>
      <c r="U7" s="20">
        <v>1623101.42</v>
      </c>
      <c r="V7" s="20">
        <v>15350</v>
      </c>
      <c r="W7" s="135">
        <f>V7/T7</f>
        <v>9.3686024575571486E-3</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5</v>
      </c>
      <c r="C8" s="260">
        <f>4/3</f>
        <v>1.3333333333333333</v>
      </c>
      <c r="D8" s="104">
        <f>SUM(B8:C8)</f>
        <v>6.333333333333333</v>
      </c>
      <c r="E8" s="27">
        <f>ROUND((O8/B8), 0)</f>
        <v>11</v>
      </c>
      <c r="F8" s="27">
        <f>ROUND((O8/D8), 0)</f>
        <v>8</v>
      </c>
      <c r="G8" s="17">
        <v>5</v>
      </c>
      <c r="H8" s="260">
        <f>4/3</f>
        <v>1.3333333333333333</v>
      </c>
      <c r="I8" s="17">
        <v>29</v>
      </c>
      <c r="J8" s="17">
        <v>38</v>
      </c>
      <c r="K8" s="27">
        <f>SUM(I8:J8)</f>
        <v>67</v>
      </c>
      <c r="L8" s="17">
        <v>21.66</v>
      </c>
      <c r="M8" s="29">
        <f>(I8+L8)</f>
        <v>50.66</v>
      </c>
      <c r="N8" s="255">
        <v>19</v>
      </c>
      <c r="O8" s="255">
        <v>53.67</v>
      </c>
      <c r="P8" s="133">
        <f t="shared" ref="P8:P23" si="2">M8/O8</f>
        <v>0.94391652692379346</v>
      </c>
      <c r="Q8" s="17">
        <v>31</v>
      </c>
      <c r="R8" s="17">
        <v>0</v>
      </c>
      <c r="S8" s="223">
        <v>1591829.74</v>
      </c>
      <c r="T8" s="28">
        <f>SUM(U8:V8)</f>
        <v>1591829.74</v>
      </c>
      <c r="U8" s="252">
        <v>1570268.74</v>
      </c>
      <c r="V8" s="20">
        <v>21561</v>
      </c>
      <c r="W8" s="135">
        <f t="shared" ref="W8:W23" si="3">V8/T8</f>
        <v>1.3544790286428497E-2</v>
      </c>
    </row>
    <row r="9" spans="1:220" s="9" customFormat="1">
      <c r="A9" s="10">
        <v>2016</v>
      </c>
      <c r="B9" s="54">
        <v>5</v>
      </c>
      <c r="C9" s="54">
        <v>2</v>
      </c>
      <c r="D9" s="65">
        <f>B9+C9</f>
        <v>7</v>
      </c>
      <c r="E9" s="13">
        <f>ROUND((O9/B9), 0)</f>
        <v>11</v>
      </c>
      <c r="F9" s="13">
        <f>ROUND((O9/D9), 0)</f>
        <v>8</v>
      </c>
      <c r="G9" s="66">
        <v>5</v>
      </c>
      <c r="H9" s="66">
        <v>2</v>
      </c>
      <c r="I9" s="54">
        <v>35</v>
      </c>
      <c r="J9" s="54">
        <v>33</v>
      </c>
      <c r="K9" s="65">
        <f>I9+J9</f>
        <v>68</v>
      </c>
      <c r="L9" s="54">
        <v>19</v>
      </c>
      <c r="M9" s="13">
        <f>I9+L9</f>
        <v>54</v>
      </c>
      <c r="N9" s="54">
        <v>14</v>
      </c>
      <c r="O9" s="54">
        <v>56.67</v>
      </c>
      <c r="P9" s="133">
        <f t="shared" si="2"/>
        <v>0.95288512440444673</v>
      </c>
      <c r="Q9" s="54">
        <v>25</v>
      </c>
      <c r="R9" s="54">
        <v>0</v>
      </c>
      <c r="S9" s="54">
        <v>1225727</v>
      </c>
      <c r="T9" s="68">
        <f>SUM(U9:V9)</f>
        <v>1307324</v>
      </c>
      <c r="U9" s="54">
        <v>1266324</v>
      </c>
      <c r="V9" s="54">
        <v>41000</v>
      </c>
      <c r="W9" s="135">
        <f t="shared" si="3"/>
        <v>3.1361774127913203E-2</v>
      </c>
    </row>
    <row r="10" spans="1:220" s="16" customFormat="1">
      <c r="A10" s="57">
        <v>2015</v>
      </c>
      <c r="B10" s="70">
        <v>5</v>
      </c>
      <c r="C10" s="70">
        <v>2</v>
      </c>
      <c r="D10" s="65">
        <v>7</v>
      </c>
      <c r="E10" s="65">
        <v>11</v>
      </c>
      <c r="F10" s="65">
        <v>7.9</v>
      </c>
      <c r="G10" s="83"/>
      <c r="H10" s="83"/>
      <c r="I10" s="70">
        <v>35</v>
      </c>
      <c r="J10" s="70">
        <v>30</v>
      </c>
      <c r="K10" s="65">
        <v>65</v>
      </c>
      <c r="L10" s="70">
        <v>16</v>
      </c>
      <c r="M10" s="65">
        <v>51.34</v>
      </c>
      <c r="N10" s="70">
        <v>12</v>
      </c>
      <c r="O10" s="70">
        <v>55</v>
      </c>
      <c r="P10" s="133">
        <f t="shared" si="2"/>
        <v>0.93345454545454554</v>
      </c>
      <c r="Q10" s="70">
        <v>26</v>
      </c>
      <c r="R10" s="70">
        <v>0</v>
      </c>
      <c r="S10" s="78">
        <v>1545542</v>
      </c>
      <c r="T10" s="79">
        <v>1206646</v>
      </c>
      <c r="U10" s="78">
        <v>1196646</v>
      </c>
      <c r="V10" s="78">
        <v>10000</v>
      </c>
      <c r="W10" s="135">
        <f t="shared" si="3"/>
        <v>8.2874347571698734E-3</v>
      </c>
    </row>
    <row r="11" spans="1:220" s="16" customFormat="1">
      <c r="A11" s="15">
        <v>2014</v>
      </c>
      <c r="B11" s="70">
        <v>4</v>
      </c>
      <c r="C11" s="70">
        <v>2</v>
      </c>
      <c r="D11" s="65">
        <f>B11+C11</f>
        <v>6</v>
      </c>
      <c r="E11" s="13">
        <f t="shared" ref="E11:E23" si="4">ROUND((O11/B11), 0)</f>
        <v>14</v>
      </c>
      <c r="F11" s="13">
        <f t="shared" ref="F11:F23" si="5">ROUND((O11/D11), 0)</f>
        <v>9</v>
      </c>
      <c r="G11" s="83"/>
      <c r="H11" s="83"/>
      <c r="I11" s="70">
        <v>35</v>
      </c>
      <c r="J11" s="70">
        <v>29</v>
      </c>
      <c r="K11" s="65">
        <f>I11+J11</f>
        <v>64</v>
      </c>
      <c r="L11" s="70">
        <v>16</v>
      </c>
      <c r="M11" s="13">
        <f>I11+L11</f>
        <v>51</v>
      </c>
      <c r="N11" s="70">
        <v>15</v>
      </c>
      <c r="O11" s="70">
        <v>56</v>
      </c>
      <c r="P11" s="133">
        <f t="shared" si="2"/>
        <v>0.9107142857142857</v>
      </c>
      <c r="Q11" s="70">
        <v>26</v>
      </c>
      <c r="R11" s="70">
        <v>1</v>
      </c>
      <c r="S11" s="71">
        <v>1311023</v>
      </c>
      <c r="T11" s="68">
        <f t="shared" ref="T11:T23" si="6">SUM(U11:V11)</f>
        <v>1311023</v>
      </c>
      <c r="U11" s="71">
        <v>1311023</v>
      </c>
      <c r="V11" s="71">
        <v>0</v>
      </c>
      <c r="W11" s="135">
        <f t="shared" si="3"/>
        <v>0</v>
      </c>
    </row>
    <row r="12" spans="1:220">
      <c r="A12" s="15">
        <v>2013</v>
      </c>
      <c r="B12" s="528">
        <v>6.5</v>
      </c>
      <c r="C12" s="528">
        <v>0.5</v>
      </c>
      <c r="D12" s="23">
        <f>B12+C12</f>
        <v>7</v>
      </c>
      <c r="E12" s="82">
        <f t="shared" si="4"/>
        <v>8</v>
      </c>
      <c r="F12" s="82">
        <f t="shared" si="5"/>
        <v>8</v>
      </c>
      <c r="G12" s="85"/>
      <c r="H12" s="85"/>
      <c r="I12" s="528">
        <v>33</v>
      </c>
      <c r="J12" s="528">
        <v>31</v>
      </c>
      <c r="K12" s="23">
        <f>I12+J12</f>
        <v>64</v>
      </c>
      <c r="L12" s="528">
        <v>16.329999999999998</v>
      </c>
      <c r="M12" s="82">
        <f>I12+L12</f>
        <v>49.33</v>
      </c>
      <c r="N12" s="528">
        <v>15</v>
      </c>
      <c r="O12" s="528">
        <v>54.97</v>
      </c>
      <c r="P12" s="133">
        <f t="shared" si="2"/>
        <v>0.89739858104420589</v>
      </c>
      <c r="Q12" s="528">
        <v>36</v>
      </c>
      <c r="R12" s="528">
        <v>0</v>
      </c>
      <c r="S12" s="84">
        <v>1141474</v>
      </c>
      <c r="T12" s="24">
        <f t="shared" si="6"/>
        <v>1141475</v>
      </c>
      <c r="U12" s="84">
        <v>1141475</v>
      </c>
      <c r="V12" s="84">
        <v>0</v>
      </c>
      <c r="W12" s="135">
        <f t="shared" si="3"/>
        <v>0</v>
      </c>
    </row>
    <row r="13" spans="1:220">
      <c r="A13" s="15">
        <v>2012</v>
      </c>
      <c r="B13" s="528">
        <v>6.5</v>
      </c>
      <c r="C13" s="528">
        <v>0.5</v>
      </c>
      <c r="D13" s="23">
        <f>B13+C13</f>
        <v>7</v>
      </c>
      <c r="E13" s="82">
        <f t="shared" si="4"/>
        <v>8</v>
      </c>
      <c r="F13" s="82">
        <f t="shared" si="5"/>
        <v>7</v>
      </c>
      <c r="G13" s="85"/>
      <c r="H13" s="85"/>
      <c r="I13" s="528">
        <v>31</v>
      </c>
      <c r="J13" s="528">
        <v>36</v>
      </c>
      <c r="K13" s="23">
        <f>I13+J13</f>
        <v>67</v>
      </c>
      <c r="L13" s="528">
        <v>14.67</v>
      </c>
      <c r="M13" s="82">
        <f>I13+L13</f>
        <v>45.67</v>
      </c>
      <c r="N13" s="528">
        <v>13</v>
      </c>
      <c r="O13" s="528">
        <v>51</v>
      </c>
      <c r="P13" s="133">
        <f t="shared" si="2"/>
        <v>0.89549019607843139</v>
      </c>
      <c r="Q13" s="528">
        <v>20</v>
      </c>
      <c r="R13" s="528">
        <v>2</v>
      </c>
      <c r="S13" s="84">
        <v>996867.25000000012</v>
      </c>
      <c r="T13" s="24">
        <f t="shared" si="6"/>
        <v>1003432.25</v>
      </c>
      <c r="U13" s="84">
        <v>996867.25</v>
      </c>
      <c r="V13" s="84">
        <v>6565</v>
      </c>
      <c r="W13" s="135">
        <f t="shared" si="3"/>
        <v>6.5425443521473425E-3</v>
      </c>
    </row>
    <row r="14" spans="1:220">
      <c r="A14" s="15">
        <v>2011</v>
      </c>
      <c r="B14" s="528">
        <v>5.5</v>
      </c>
      <c r="C14" s="528">
        <v>1.67</v>
      </c>
      <c r="D14" s="23">
        <f t="shared" ref="D14:D23" si="7">SUM(B14:C14)</f>
        <v>7.17</v>
      </c>
      <c r="E14" s="82">
        <f t="shared" si="4"/>
        <v>9</v>
      </c>
      <c r="F14" s="82">
        <f t="shared" si="5"/>
        <v>7</v>
      </c>
      <c r="G14" s="85"/>
      <c r="H14" s="85"/>
      <c r="I14" s="528">
        <v>24</v>
      </c>
      <c r="J14" s="528">
        <v>51</v>
      </c>
      <c r="K14" s="23">
        <f t="shared" ref="K14:K23" si="8">SUM(I14:J14)</f>
        <v>75</v>
      </c>
      <c r="L14" s="528">
        <v>23.67</v>
      </c>
      <c r="M14" s="82">
        <f t="shared" ref="M14:M23" si="9">(I14+L14)</f>
        <v>47.67</v>
      </c>
      <c r="N14" s="528">
        <v>20</v>
      </c>
      <c r="O14" s="528">
        <v>51.34</v>
      </c>
      <c r="P14" s="133">
        <f t="shared" si="2"/>
        <v>0.9285157771717959</v>
      </c>
      <c r="Q14" s="528">
        <v>84</v>
      </c>
      <c r="R14" s="528">
        <v>1</v>
      </c>
      <c r="S14" s="84">
        <v>1039211.4099999999</v>
      </c>
      <c r="T14" s="24">
        <f t="shared" si="6"/>
        <v>1279778</v>
      </c>
      <c r="U14" s="84">
        <v>1039121</v>
      </c>
      <c r="V14" s="84">
        <v>240657</v>
      </c>
      <c r="W14" s="135">
        <f t="shared" si="3"/>
        <v>0.18804589545999384</v>
      </c>
    </row>
    <row r="15" spans="1:220">
      <c r="A15" s="15">
        <v>2010</v>
      </c>
      <c r="B15" s="528">
        <v>5</v>
      </c>
      <c r="C15" s="528">
        <v>2.66</v>
      </c>
      <c r="D15" s="23">
        <f t="shared" si="7"/>
        <v>7.66</v>
      </c>
      <c r="E15" s="82">
        <f t="shared" si="4"/>
        <v>18</v>
      </c>
      <c r="F15" s="82">
        <f t="shared" si="5"/>
        <v>12</v>
      </c>
      <c r="G15" s="85"/>
      <c r="H15" s="85"/>
      <c r="I15" s="528">
        <v>36</v>
      </c>
      <c r="J15" s="528">
        <v>97</v>
      </c>
      <c r="K15" s="23">
        <f t="shared" si="8"/>
        <v>133</v>
      </c>
      <c r="L15" s="528">
        <v>50.22</v>
      </c>
      <c r="M15" s="82">
        <f t="shared" si="9"/>
        <v>86.22</v>
      </c>
      <c r="N15" s="528">
        <v>32</v>
      </c>
      <c r="O15" s="528">
        <v>91.21</v>
      </c>
      <c r="P15" s="133">
        <f t="shared" si="2"/>
        <v>0.94529108650367288</v>
      </c>
      <c r="Q15" s="527">
        <v>70</v>
      </c>
      <c r="R15" s="528">
        <v>0</v>
      </c>
      <c r="S15" s="84">
        <v>1356311.31</v>
      </c>
      <c r="T15" s="24">
        <f t="shared" si="6"/>
        <v>2672311</v>
      </c>
      <c r="U15" s="84">
        <v>1356311</v>
      </c>
      <c r="V15" s="84">
        <v>1316000</v>
      </c>
      <c r="W15" s="135">
        <f t="shared" si="3"/>
        <v>0.49245765182271073</v>
      </c>
    </row>
    <row r="16" spans="1:220">
      <c r="A16" s="15">
        <v>2009</v>
      </c>
      <c r="B16" s="528">
        <v>7</v>
      </c>
      <c r="C16" s="528">
        <v>3.67</v>
      </c>
      <c r="D16" s="23">
        <f t="shared" si="7"/>
        <v>10.67</v>
      </c>
      <c r="E16" s="82">
        <f t="shared" si="4"/>
        <v>19</v>
      </c>
      <c r="F16" s="82">
        <f t="shared" si="5"/>
        <v>13</v>
      </c>
      <c r="G16" s="85"/>
      <c r="H16" s="85"/>
      <c r="I16" s="528">
        <v>39</v>
      </c>
      <c r="J16" s="528">
        <v>145</v>
      </c>
      <c r="K16" s="23">
        <f t="shared" si="8"/>
        <v>184</v>
      </c>
      <c r="L16" s="528">
        <v>87.33</v>
      </c>
      <c r="M16" s="82">
        <f t="shared" si="9"/>
        <v>126.33</v>
      </c>
      <c r="N16" s="528">
        <v>38</v>
      </c>
      <c r="O16" s="528">
        <v>133.99</v>
      </c>
      <c r="P16" s="133">
        <f t="shared" si="2"/>
        <v>0.94283155459362633</v>
      </c>
      <c r="Q16" s="528">
        <v>26</v>
      </c>
      <c r="R16" s="528">
        <v>0</v>
      </c>
      <c r="S16" s="84">
        <v>1394147</v>
      </c>
      <c r="T16" s="24">
        <f t="shared" si="6"/>
        <v>2183512</v>
      </c>
      <c r="U16" s="84">
        <v>1394147</v>
      </c>
      <c r="V16" s="84">
        <v>789365</v>
      </c>
      <c r="W16" s="135">
        <f t="shared" si="3"/>
        <v>0.36151163813159715</v>
      </c>
    </row>
    <row r="17" spans="1:23">
      <c r="A17" s="15">
        <v>2008</v>
      </c>
      <c r="B17" s="528">
        <v>7</v>
      </c>
      <c r="C17" s="528">
        <v>2.67</v>
      </c>
      <c r="D17" s="23">
        <f t="shared" si="7"/>
        <v>9.67</v>
      </c>
      <c r="E17" s="82">
        <f t="shared" si="4"/>
        <v>11</v>
      </c>
      <c r="F17" s="82">
        <f t="shared" si="5"/>
        <v>8</v>
      </c>
      <c r="G17" s="85"/>
      <c r="H17" s="85"/>
      <c r="I17" s="528">
        <v>6</v>
      </c>
      <c r="J17" s="528">
        <v>137</v>
      </c>
      <c r="K17" s="23">
        <f t="shared" si="8"/>
        <v>143</v>
      </c>
      <c r="L17" s="528">
        <v>67.75</v>
      </c>
      <c r="M17" s="82">
        <f t="shared" si="9"/>
        <v>73.75</v>
      </c>
      <c r="N17" s="528">
        <v>20</v>
      </c>
      <c r="O17" s="528">
        <v>74</v>
      </c>
      <c r="P17" s="133">
        <f t="shared" si="2"/>
        <v>0.9966216216216216</v>
      </c>
      <c r="Q17" s="528">
        <v>28</v>
      </c>
      <c r="R17" s="528">
        <v>0</v>
      </c>
      <c r="S17" s="84">
        <v>1279221</v>
      </c>
      <c r="T17" s="24">
        <f t="shared" si="6"/>
        <v>1614921</v>
      </c>
      <c r="U17" s="84">
        <v>1279221</v>
      </c>
      <c r="V17" s="84">
        <v>335700</v>
      </c>
      <c r="W17" s="135">
        <f t="shared" si="3"/>
        <v>0.20787394553665473</v>
      </c>
    </row>
    <row r="18" spans="1:23">
      <c r="A18" s="15">
        <v>2007</v>
      </c>
      <c r="B18" s="528">
        <v>7</v>
      </c>
      <c r="C18" s="528">
        <v>2</v>
      </c>
      <c r="D18" s="82">
        <f t="shared" si="7"/>
        <v>9</v>
      </c>
      <c r="E18" s="82">
        <f t="shared" si="4"/>
        <v>7</v>
      </c>
      <c r="F18" s="82">
        <f t="shared" si="5"/>
        <v>5</v>
      </c>
      <c r="G18" s="85"/>
      <c r="H18" s="85"/>
      <c r="I18" s="528">
        <v>13</v>
      </c>
      <c r="J18" s="528">
        <v>91</v>
      </c>
      <c r="K18" s="23">
        <f t="shared" si="8"/>
        <v>104</v>
      </c>
      <c r="L18" s="528">
        <v>35.5</v>
      </c>
      <c r="M18" s="82">
        <f t="shared" si="9"/>
        <v>48.5</v>
      </c>
      <c r="N18" s="528">
        <v>11</v>
      </c>
      <c r="O18" s="528">
        <v>49</v>
      </c>
      <c r="P18" s="133">
        <f t="shared" si="2"/>
        <v>0.98979591836734693</v>
      </c>
      <c r="Q18" s="528">
        <v>28</v>
      </c>
      <c r="R18" s="528">
        <v>0</v>
      </c>
      <c r="S18" s="179">
        <v>1070098</v>
      </c>
      <c r="T18" s="24">
        <f t="shared" si="6"/>
        <v>910792</v>
      </c>
      <c r="U18" s="179">
        <v>910792</v>
      </c>
      <c r="V18" s="179">
        <v>0</v>
      </c>
      <c r="W18" s="135">
        <f t="shared" si="3"/>
        <v>0</v>
      </c>
    </row>
    <row r="19" spans="1:23">
      <c r="A19" s="15">
        <v>2006</v>
      </c>
      <c r="B19" s="528">
        <v>6</v>
      </c>
      <c r="C19" s="528">
        <v>2</v>
      </c>
      <c r="D19" s="82">
        <f t="shared" si="7"/>
        <v>8</v>
      </c>
      <c r="E19" s="82">
        <f t="shared" si="4"/>
        <v>7</v>
      </c>
      <c r="F19" s="82">
        <f t="shared" si="5"/>
        <v>5</v>
      </c>
      <c r="G19" s="85"/>
      <c r="H19" s="85"/>
      <c r="I19" s="528">
        <v>7</v>
      </c>
      <c r="J19" s="528">
        <v>83</v>
      </c>
      <c r="K19" s="23">
        <f t="shared" si="8"/>
        <v>90</v>
      </c>
      <c r="L19" s="528">
        <v>34</v>
      </c>
      <c r="M19" s="82">
        <f t="shared" si="9"/>
        <v>41</v>
      </c>
      <c r="N19" s="528">
        <v>13</v>
      </c>
      <c r="O19" s="528">
        <v>42</v>
      </c>
      <c r="P19" s="133">
        <f t="shared" si="2"/>
        <v>0.97619047619047616</v>
      </c>
      <c r="Q19" s="528">
        <v>21</v>
      </c>
      <c r="R19" s="528">
        <v>0</v>
      </c>
      <c r="S19" s="132">
        <v>784400</v>
      </c>
      <c r="T19" s="24">
        <f t="shared" si="6"/>
        <v>808005</v>
      </c>
      <c r="U19" s="132">
        <v>808005</v>
      </c>
      <c r="V19" s="132">
        <v>0</v>
      </c>
      <c r="W19" s="135">
        <f t="shared" si="3"/>
        <v>0</v>
      </c>
    </row>
    <row r="20" spans="1:23">
      <c r="A20" s="15">
        <v>2005</v>
      </c>
      <c r="B20" s="528">
        <v>5</v>
      </c>
      <c r="C20" s="528">
        <v>2</v>
      </c>
      <c r="D20" s="82">
        <f t="shared" si="7"/>
        <v>7</v>
      </c>
      <c r="E20" s="82">
        <f t="shared" si="4"/>
        <v>10</v>
      </c>
      <c r="F20" s="82">
        <f t="shared" si="5"/>
        <v>7</v>
      </c>
      <c r="G20" s="85"/>
      <c r="H20" s="85"/>
      <c r="I20" s="528">
        <v>17</v>
      </c>
      <c r="J20" s="528">
        <v>73</v>
      </c>
      <c r="K20" s="23">
        <f t="shared" si="8"/>
        <v>90</v>
      </c>
      <c r="L20" s="528">
        <v>31</v>
      </c>
      <c r="M20" s="82">
        <f t="shared" si="9"/>
        <v>48</v>
      </c>
      <c r="N20" s="528">
        <v>10</v>
      </c>
      <c r="O20" s="528">
        <v>48</v>
      </c>
      <c r="P20" s="133">
        <f t="shared" si="2"/>
        <v>1</v>
      </c>
      <c r="Q20" s="528">
        <v>40</v>
      </c>
      <c r="R20" s="528">
        <v>0</v>
      </c>
      <c r="S20" s="132">
        <v>850327</v>
      </c>
      <c r="T20" s="24">
        <f t="shared" si="6"/>
        <v>850366</v>
      </c>
      <c r="U20" s="132">
        <v>850366</v>
      </c>
      <c r="V20" s="132">
        <v>0</v>
      </c>
      <c r="W20" s="135">
        <f t="shared" si="3"/>
        <v>0</v>
      </c>
    </row>
    <row r="21" spans="1:23">
      <c r="A21" s="15">
        <v>2004</v>
      </c>
      <c r="B21" s="528">
        <v>5</v>
      </c>
      <c r="C21" s="528">
        <v>3</v>
      </c>
      <c r="D21" s="82">
        <f t="shared" si="7"/>
        <v>8</v>
      </c>
      <c r="E21" s="82">
        <f t="shared" si="4"/>
        <v>10</v>
      </c>
      <c r="F21" s="82">
        <f t="shared" si="5"/>
        <v>6</v>
      </c>
      <c r="G21" s="85"/>
      <c r="H21" s="85"/>
      <c r="I21" s="528">
        <v>19</v>
      </c>
      <c r="J21" s="528">
        <v>74</v>
      </c>
      <c r="K21" s="23">
        <f t="shared" si="8"/>
        <v>93</v>
      </c>
      <c r="L21" s="528">
        <v>31</v>
      </c>
      <c r="M21" s="82">
        <f t="shared" si="9"/>
        <v>50</v>
      </c>
      <c r="N21" s="528">
        <v>15</v>
      </c>
      <c r="O21" s="528">
        <v>51</v>
      </c>
      <c r="P21" s="133">
        <f t="shared" si="2"/>
        <v>0.98039215686274506</v>
      </c>
      <c r="Q21" s="528">
        <v>46</v>
      </c>
      <c r="R21" s="528">
        <v>1</v>
      </c>
      <c r="S21" s="132">
        <v>824810</v>
      </c>
      <c r="T21" s="24">
        <f t="shared" si="6"/>
        <v>824818</v>
      </c>
      <c r="U21" s="132">
        <v>824818</v>
      </c>
      <c r="V21" s="132">
        <v>0</v>
      </c>
      <c r="W21" s="135">
        <f t="shared" si="3"/>
        <v>0</v>
      </c>
    </row>
    <row r="22" spans="1:23">
      <c r="A22" s="15">
        <v>2003</v>
      </c>
      <c r="B22" s="528">
        <v>5</v>
      </c>
      <c r="C22" s="528">
        <f>ROUND(2.44, 0)</f>
        <v>2</v>
      </c>
      <c r="D22" s="23">
        <f t="shared" si="7"/>
        <v>7</v>
      </c>
      <c r="E22" s="82">
        <f t="shared" si="4"/>
        <v>12</v>
      </c>
      <c r="F22" s="82">
        <f t="shared" si="5"/>
        <v>8</v>
      </c>
      <c r="G22" s="85"/>
      <c r="H22" s="85"/>
      <c r="I22" s="528">
        <v>20</v>
      </c>
      <c r="J22" s="528">
        <v>96</v>
      </c>
      <c r="K22" s="23">
        <f t="shared" si="8"/>
        <v>116</v>
      </c>
      <c r="L22" s="528">
        <v>38</v>
      </c>
      <c r="M22" s="82">
        <f t="shared" si="9"/>
        <v>58</v>
      </c>
      <c r="N22" s="528">
        <v>17</v>
      </c>
      <c r="O22" s="528">
        <v>58</v>
      </c>
      <c r="P22" s="133">
        <f t="shared" si="2"/>
        <v>1</v>
      </c>
      <c r="Q22" s="528">
        <v>25</v>
      </c>
      <c r="R22" s="528">
        <v>0</v>
      </c>
      <c r="S22" s="132">
        <v>1063149</v>
      </c>
      <c r="T22" s="24">
        <f t="shared" si="6"/>
        <v>1063149</v>
      </c>
      <c r="U22" s="132">
        <v>929558</v>
      </c>
      <c r="V22" s="132">
        <v>133591</v>
      </c>
      <c r="W22" s="135">
        <f t="shared" si="3"/>
        <v>0.12565595227009574</v>
      </c>
    </row>
    <row r="23" spans="1:23" ht="12.75" customHeight="1">
      <c r="A23" s="15">
        <v>2002</v>
      </c>
      <c r="B23" s="528">
        <v>5</v>
      </c>
      <c r="C23" s="528">
        <v>2</v>
      </c>
      <c r="D23" s="23">
        <f t="shared" si="7"/>
        <v>7</v>
      </c>
      <c r="E23" s="82">
        <f t="shared" si="4"/>
        <v>12</v>
      </c>
      <c r="F23" s="82">
        <f t="shared" si="5"/>
        <v>8</v>
      </c>
      <c r="G23" s="85"/>
      <c r="H23" s="85"/>
      <c r="I23" s="528">
        <v>30</v>
      </c>
      <c r="J23" s="528">
        <v>75</v>
      </c>
      <c r="K23" s="23">
        <f t="shared" si="8"/>
        <v>105</v>
      </c>
      <c r="L23" s="528">
        <f>ROUND(28.25, 0)</f>
        <v>28</v>
      </c>
      <c r="M23" s="82">
        <f t="shared" si="9"/>
        <v>58</v>
      </c>
      <c r="N23" s="528">
        <v>14</v>
      </c>
      <c r="O23" s="528">
        <v>59</v>
      </c>
      <c r="P23" s="133">
        <f t="shared" si="2"/>
        <v>0.98305084745762716</v>
      </c>
      <c r="Q23" s="528">
        <v>26</v>
      </c>
      <c r="R23" s="528">
        <v>2</v>
      </c>
      <c r="S23" s="132">
        <v>918590</v>
      </c>
      <c r="T23" s="24">
        <f t="shared" si="6"/>
        <v>919834</v>
      </c>
      <c r="U23" s="132">
        <v>801820</v>
      </c>
      <c r="V23" s="132">
        <v>118014</v>
      </c>
      <c r="W23" s="135">
        <f t="shared" si="3"/>
        <v>0.12829923660138678</v>
      </c>
    </row>
    <row r="24" spans="1:23" s="12" customFormat="1">
      <c r="G24"/>
      <c r="H24"/>
    </row>
    <row r="25" spans="1:23" s="12" customFormat="1">
      <c r="G25"/>
      <c r="H25"/>
    </row>
    <row r="26" spans="1:23" s="12" customFormat="1">
      <c r="G26"/>
      <c r="H26"/>
    </row>
    <row r="27" spans="1:23" s="12" customFormat="1">
      <c r="G27"/>
      <c r="H27"/>
    </row>
    <row r="28" spans="1:23" s="12" customFormat="1">
      <c r="G28"/>
      <c r="H28"/>
    </row>
    <row r="29" spans="1:23" s="12" customFormat="1">
      <c r="G29"/>
      <c r="H29"/>
    </row>
    <row r="30" spans="1:23" s="12" customFormat="1">
      <c r="G30"/>
      <c r="H30"/>
    </row>
    <row r="31" spans="1:23" s="12" customFormat="1">
      <c r="G31"/>
      <c r="H31"/>
    </row>
    <row r="32" spans="1:23" s="12" customFormat="1">
      <c r="G32"/>
      <c r="H32"/>
    </row>
    <row r="33" spans="7:8" s="12" customFormat="1">
      <c r="G33"/>
      <c r="H33"/>
    </row>
  </sheetData>
  <printOptions headings="1" gridLines="1"/>
  <pageMargins left="0.5" right="0.5" top="0.5" bottom="0.5" header="0" footer="0"/>
  <pageSetup paperSize="5" scale="67" orientation="landscape"/>
  <legacyDrawing r:id="rId1"/>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HL33"/>
  <sheetViews>
    <sheetView workbookViewId="0">
      <selection activeCell="I6" sqref="I6"/>
    </sheetView>
  </sheetViews>
  <sheetFormatPr defaultColWidth="8.85546875" defaultRowHeight="15"/>
  <cols>
    <col min="1" max="1" width="10.285156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2.42578125" bestFit="1" customWidth="1"/>
    <col min="20" max="20" width="12.85546875" bestFit="1" customWidth="1"/>
    <col min="21" max="22" width="11.42578125" bestFit="1" customWidth="1"/>
    <col min="23" max="23" width="12.85546875" bestFit="1" customWidth="1"/>
  </cols>
  <sheetData>
    <row r="1" spans="1:220" s="7" customFormat="1" ht="18.75">
      <c r="A1" s="1" t="s">
        <v>211</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c r="A3" s="10">
        <v>2022</v>
      </c>
      <c r="B3" s="17">
        <v>41</v>
      </c>
      <c r="C3" s="17">
        <v>28</v>
      </c>
      <c r="D3" s="23">
        <f t="shared" ref="D3" si="0">SUM(B3:C3)</f>
        <v>69</v>
      </c>
      <c r="E3" s="82">
        <f t="shared" ref="E3" si="1">ROUND((O3/B3), 0)</f>
        <v>40</v>
      </c>
      <c r="F3" s="82">
        <f t="shared" ref="F3" si="2">ROUND((O3/D3), 0)</f>
        <v>24</v>
      </c>
      <c r="G3" s="17">
        <v>6</v>
      </c>
      <c r="H3" s="17">
        <v>13</v>
      </c>
      <c r="I3" s="17">
        <v>44</v>
      </c>
      <c r="J3" s="17">
        <v>174</v>
      </c>
      <c r="K3" s="23">
        <f>SUM(I3:J3)</f>
        <v>218</v>
      </c>
      <c r="L3" s="17">
        <v>82</v>
      </c>
      <c r="M3" s="82">
        <f>(I3+L3)</f>
        <v>126</v>
      </c>
      <c r="N3" s="17">
        <v>47</v>
      </c>
      <c r="O3" s="230">
        <v>1626</v>
      </c>
      <c r="P3" s="133">
        <f>M3/O3</f>
        <v>7.7490774907749083E-2</v>
      </c>
      <c r="Q3" s="17">
        <v>118</v>
      </c>
      <c r="R3" s="17">
        <v>286</v>
      </c>
      <c r="S3" s="20">
        <v>58299428</v>
      </c>
      <c r="T3" s="24">
        <f t="shared" ref="T3" si="3">SUM(U3:V3)</f>
        <v>59526675</v>
      </c>
      <c r="U3" s="20">
        <v>56851194</v>
      </c>
      <c r="V3" s="20">
        <v>2675481</v>
      </c>
      <c r="W3" s="135">
        <f>V3/T3</f>
        <v>4.4945917103550635E-2</v>
      </c>
    </row>
    <row r="4" spans="1:220">
      <c r="A4" s="10">
        <v>2021</v>
      </c>
      <c r="B4" s="17">
        <v>40</v>
      </c>
      <c r="C4" s="17">
        <v>36</v>
      </c>
      <c r="D4" s="23">
        <f>SUM(B4:C4)</f>
        <v>76</v>
      </c>
      <c r="E4" s="82">
        <f t="shared" ref="E4" si="4">ROUND((O4/B4), 0)</f>
        <v>40</v>
      </c>
      <c r="F4" s="82">
        <f t="shared" ref="F4" si="5">ROUND((O4/D4), 0)</f>
        <v>21</v>
      </c>
      <c r="G4" s="17">
        <v>6</v>
      </c>
      <c r="H4" s="17">
        <v>7</v>
      </c>
      <c r="I4" s="17">
        <v>49</v>
      </c>
      <c r="J4" s="17">
        <v>287</v>
      </c>
      <c r="K4" s="23">
        <f t="shared" ref="K4" si="6">SUM(I4:J4)</f>
        <v>336</v>
      </c>
      <c r="L4" s="17">
        <v>103</v>
      </c>
      <c r="M4" s="82">
        <f t="shared" ref="M4" si="7">(I4+L4)</f>
        <v>152</v>
      </c>
      <c r="N4" s="17">
        <v>94</v>
      </c>
      <c r="O4" s="230">
        <v>1609</v>
      </c>
      <c r="P4" s="133">
        <f t="shared" ref="P4" si="8">M4/O4</f>
        <v>9.44686140459913E-2</v>
      </c>
      <c r="Q4" s="17">
        <v>124</v>
      </c>
      <c r="R4" s="17">
        <v>743</v>
      </c>
      <c r="S4" s="20">
        <v>59170730.460000001</v>
      </c>
      <c r="T4" s="24">
        <f t="shared" ref="T4" si="9">SUM(U4:V4)</f>
        <v>59072410.75</v>
      </c>
      <c r="U4" s="20">
        <v>57800462.280000001</v>
      </c>
      <c r="V4" s="20">
        <v>1271948.47</v>
      </c>
      <c r="W4" s="135">
        <f t="shared" ref="W4" si="10">V4/T4</f>
        <v>2.1532022374759777E-2</v>
      </c>
    </row>
    <row r="5" spans="1:220">
      <c r="A5" s="10">
        <v>2020</v>
      </c>
      <c r="B5" s="17">
        <v>41</v>
      </c>
      <c r="C5" s="17">
        <v>38</v>
      </c>
      <c r="D5" s="23">
        <f>SUM(B5:C5)</f>
        <v>79</v>
      </c>
      <c r="E5" s="82">
        <f>ROUND((O5/B5), 0)</f>
        <v>42</v>
      </c>
      <c r="F5" s="82">
        <f>ROUND((O5/D5), 0)</f>
        <v>22</v>
      </c>
      <c r="G5" s="17">
        <v>9</v>
      </c>
      <c r="H5" s="17">
        <v>7</v>
      </c>
      <c r="I5" s="17">
        <v>45</v>
      </c>
      <c r="J5" s="17">
        <v>308</v>
      </c>
      <c r="K5" s="23">
        <f t="shared" ref="K5" si="11">SUM(I5:J5)</f>
        <v>353</v>
      </c>
      <c r="L5" s="17">
        <v>135</v>
      </c>
      <c r="M5" s="82">
        <f t="shared" ref="M5" si="12">(I5+L5)</f>
        <v>180</v>
      </c>
      <c r="N5" s="17">
        <v>82</v>
      </c>
      <c r="O5" s="230">
        <v>1704</v>
      </c>
      <c r="P5" s="133">
        <f t="shared" ref="P5" si="13">M5/O5</f>
        <v>0.10563380281690141</v>
      </c>
      <c r="Q5" s="17">
        <v>136</v>
      </c>
      <c r="R5" s="17">
        <v>753</v>
      </c>
      <c r="S5" s="20">
        <v>63978730</v>
      </c>
      <c r="T5" s="24">
        <f>SUM(U5:V5)</f>
        <v>60938210.909999996</v>
      </c>
      <c r="U5" s="20">
        <v>59713799</v>
      </c>
      <c r="V5" s="20">
        <v>1224411.9099999999</v>
      </c>
      <c r="W5" s="135">
        <f t="shared" ref="W5" si="14">V5/T5</f>
        <v>2.0092678989351052E-2</v>
      </c>
    </row>
    <row r="6" spans="1:220">
      <c r="A6" s="10">
        <v>2019</v>
      </c>
      <c r="B6" s="17">
        <v>42</v>
      </c>
      <c r="C6" s="17">
        <v>38</v>
      </c>
      <c r="D6" s="23">
        <f>SUM(B6:C6)</f>
        <v>80</v>
      </c>
      <c r="E6" s="82">
        <f>ROUND((O6/B6), 0)</f>
        <v>33</v>
      </c>
      <c r="F6" s="82">
        <f>ROUND((O6/D6), 0)</f>
        <v>17</v>
      </c>
      <c r="G6" s="17">
        <v>9</v>
      </c>
      <c r="H6" s="17">
        <v>7</v>
      </c>
      <c r="I6" s="17">
        <v>54</v>
      </c>
      <c r="J6" s="17">
        <v>217</v>
      </c>
      <c r="K6" s="23">
        <f>SUM(I6:J6)</f>
        <v>271</v>
      </c>
      <c r="L6" s="17">
        <v>108</v>
      </c>
      <c r="M6" s="82">
        <f>(I6+L6)</f>
        <v>162</v>
      </c>
      <c r="N6" s="17">
        <v>82</v>
      </c>
      <c r="O6" s="230">
        <v>1388</v>
      </c>
      <c r="P6" s="133">
        <f>M6/O6</f>
        <v>0.11671469740634005</v>
      </c>
      <c r="Q6" s="17">
        <v>132</v>
      </c>
      <c r="R6" s="17">
        <v>488</v>
      </c>
      <c r="S6" s="20">
        <v>60057564</v>
      </c>
      <c r="T6" s="24">
        <f>SUM(U6:V6)</f>
        <v>60989328</v>
      </c>
      <c r="U6" s="20">
        <v>57171623</v>
      </c>
      <c r="V6" s="20">
        <v>3817705</v>
      </c>
      <c r="W6" s="135">
        <f>V6/T6</f>
        <v>6.2596279139196284E-2</v>
      </c>
    </row>
    <row r="7" spans="1:220" s="14" customFormat="1">
      <c r="A7" s="10">
        <v>2018</v>
      </c>
      <c r="B7" s="17">
        <v>43</v>
      </c>
      <c r="C7" s="17">
        <v>38</v>
      </c>
      <c r="D7" s="23">
        <f>SUM(B7:C7)</f>
        <v>81</v>
      </c>
      <c r="E7" s="82">
        <f>ROUND((O7/B7), 0)</f>
        <v>32</v>
      </c>
      <c r="F7" s="82">
        <f>ROUND((O7/D7), 0)</f>
        <v>17</v>
      </c>
      <c r="G7" s="17">
        <v>7</v>
      </c>
      <c r="H7" s="17">
        <v>9</v>
      </c>
      <c r="I7" s="17">
        <v>58</v>
      </c>
      <c r="J7" s="17">
        <v>251</v>
      </c>
      <c r="K7" s="23">
        <f t="shared" ref="K7" si="15">SUM(I7:J7)</f>
        <v>309</v>
      </c>
      <c r="L7" s="17">
        <v>116</v>
      </c>
      <c r="M7" s="82">
        <f>(I7+L7)</f>
        <v>174</v>
      </c>
      <c r="N7" s="17">
        <v>72</v>
      </c>
      <c r="O7" s="17">
        <v>1382</v>
      </c>
      <c r="P7" s="133">
        <f>M7/O7</f>
        <v>0.12590448625180897</v>
      </c>
      <c r="Q7" s="17">
        <v>51</v>
      </c>
      <c r="R7" s="17">
        <v>756</v>
      </c>
      <c r="S7" s="20">
        <v>51595609</v>
      </c>
      <c r="T7" s="24">
        <f>SUM(U7:V7)</f>
        <v>53180657</v>
      </c>
      <c r="U7" s="20">
        <v>47698686</v>
      </c>
      <c r="V7" s="20">
        <v>5481971</v>
      </c>
      <c r="W7" s="135">
        <f>V7/T7</f>
        <v>0.10308204729400015</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44</v>
      </c>
      <c r="C8" s="17">
        <v>17</v>
      </c>
      <c r="D8" s="27">
        <f>SUM(B8:C8)</f>
        <v>61</v>
      </c>
      <c r="E8" s="27">
        <f>ROUND((O8/B8), 0)</f>
        <v>28</v>
      </c>
      <c r="F8" s="27">
        <f>ROUND((O8/D8), 0)</f>
        <v>20</v>
      </c>
      <c r="G8" s="17">
        <v>9</v>
      </c>
      <c r="H8" s="17">
        <v>4</v>
      </c>
      <c r="I8" s="17">
        <v>46</v>
      </c>
      <c r="J8" s="17">
        <v>184</v>
      </c>
      <c r="K8" s="27">
        <f>SUM(I8:J8)</f>
        <v>230</v>
      </c>
      <c r="L8" s="17">
        <v>66</v>
      </c>
      <c r="M8" s="29">
        <f>(I8+L8)</f>
        <v>112</v>
      </c>
      <c r="N8" s="255">
        <v>46</v>
      </c>
      <c r="O8" s="255">
        <v>1242</v>
      </c>
      <c r="P8" s="133">
        <f t="shared" ref="P8:P23" si="16">M8/O8</f>
        <v>9.0177133655394523E-2</v>
      </c>
      <c r="Q8" s="17">
        <v>67</v>
      </c>
      <c r="R8" s="17">
        <v>513</v>
      </c>
      <c r="S8" s="223">
        <v>44501317</v>
      </c>
      <c r="T8" s="28">
        <f>SUM(U8:V8)</f>
        <v>44912278</v>
      </c>
      <c r="U8" s="252">
        <v>41075950</v>
      </c>
      <c r="V8" s="20">
        <v>3836328</v>
      </c>
      <c r="W8" s="135">
        <f t="shared" ref="W8:W23" si="17">V8/T8</f>
        <v>8.5418245763441342E-2</v>
      </c>
    </row>
    <row r="9" spans="1:220" s="9" customFormat="1">
      <c r="A9" s="10">
        <v>2016</v>
      </c>
      <c r="B9" s="54">
        <v>47</v>
      </c>
      <c r="C9" s="54">
        <v>10</v>
      </c>
      <c r="D9" s="23">
        <f>B9+C9</f>
        <v>57</v>
      </c>
      <c r="E9" s="82">
        <f>ROUND((O9/B9), 0)</f>
        <v>26</v>
      </c>
      <c r="F9" s="82">
        <f>ROUND((O9/D9), 0)</f>
        <v>21</v>
      </c>
      <c r="G9" s="66">
        <v>8</v>
      </c>
      <c r="H9" s="66">
        <v>5</v>
      </c>
      <c r="I9" s="54">
        <v>54</v>
      </c>
      <c r="J9" s="54">
        <v>76</v>
      </c>
      <c r="K9" s="23">
        <f>I9+J9</f>
        <v>130</v>
      </c>
      <c r="L9" s="54">
        <v>36</v>
      </c>
      <c r="M9" s="82">
        <f>I9+L9</f>
        <v>90</v>
      </c>
      <c r="N9" s="54">
        <v>19</v>
      </c>
      <c r="O9" s="54">
        <v>1224</v>
      </c>
      <c r="P9" s="133">
        <f t="shared" si="16"/>
        <v>7.3529411764705885E-2</v>
      </c>
      <c r="Q9" s="54">
        <v>71</v>
      </c>
      <c r="R9" s="54">
        <v>418</v>
      </c>
      <c r="S9" s="55">
        <v>41316230</v>
      </c>
      <c r="T9" s="205">
        <f>SUM(U9:V9)</f>
        <v>41711226</v>
      </c>
      <c r="U9" s="55">
        <v>38895367</v>
      </c>
      <c r="V9" s="55">
        <v>2815859</v>
      </c>
      <c r="W9" s="135">
        <f t="shared" si="17"/>
        <v>6.7508420874514696E-2</v>
      </c>
    </row>
    <row r="10" spans="1:220" s="6" customFormat="1">
      <c r="A10" s="10">
        <v>2015</v>
      </c>
      <c r="B10" s="528">
        <v>45</v>
      </c>
      <c r="C10" s="528">
        <v>9</v>
      </c>
      <c r="D10" s="119">
        <v>54</v>
      </c>
      <c r="E10" s="143">
        <f>+O10/B10</f>
        <v>28.844444444444445</v>
      </c>
      <c r="F10" s="143">
        <f>+O10/D10</f>
        <v>24.037037037037038</v>
      </c>
      <c r="G10" s="83"/>
      <c r="H10" s="83"/>
      <c r="I10" s="122">
        <v>67</v>
      </c>
      <c r="J10" s="122">
        <v>99</v>
      </c>
      <c r="K10" s="119">
        <v>166</v>
      </c>
      <c r="L10" s="122">
        <v>47</v>
      </c>
      <c r="M10" s="119">
        <v>114</v>
      </c>
      <c r="N10" s="122">
        <v>26</v>
      </c>
      <c r="O10" s="229">
        <v>1298</v>
      </c>
      <c r="P10" s="133">
        <f t="shared" si="16"/>
        <v>8.7827426810477657E-2</v>
      </c>
      <c r="Q10" s="122">
        <v>65</v>
      </c>
      <c r="R10" s="122">
        <v>613</v>
      </c>
      <c r="S10" s="172">
        <v>41592781</v>
      </c>
      <c r="T10" s="170">
        <v>41427719</v>
      </c>
      <c r="U10" s="172">
        <v>37698851</v>
      </c>
      <c r="V10" s="172">
        <v>3728868</v>
      </c>
      <c r="W10" s="135">
        <f t="shared" si="17"/>
        <v>9.0009010633677417E-2</v>
      </c>
    </row>
    <row r="11" spans="1:220" s="6" customFormat="1">
      <c r="A11" s="10">
        <v>2014</v>
      </c>
      <c r="B11" s="528">
        <v>50</v>
      </c>
      <c r="C11" s="528">
        <v>9</v>
      </c>
      <c r="D11" s="119">
        <v>59</v>
      </c>
      <c r="E11" s="119">
        <v>25</v>
      </c>
      <c r="F11" s="119">
        <v>21</v>
      </c>
      <c r="G11" s="83"/>
      <c r="H11" s="83"/>
      <c r="I11" s="122">
        <v>72</v>
      </c>
      <c r="J11" s="122">
        <v>89</v>
      </c>
      <c r="K11" s="119">
        <v>161</v>
      </c>
      <c r="L11" s="122">
        <v>40</v>
      </c>
      <c r="M11" s="119">
        <v>112</v>
      </c>
      <c r="N11" s="122">
        <v>28</v>
      </c>
      <c r="O11" s="229">
        <v>1244</v>
      </c>
      <c r="P11" s="133">
        <f t="shared" si="16"/>
        <v>9.0032154340836015E-2</v>
      </c>
      <c r="Q11" s="122">
        <v>68</v>
      </c>
      <c r="R11" s="122">
        <v>545</v>
      </c>
      <c r="S11" s="172">
        <v>39029632</v>
      </c>
      <c r="T11" s="170">
        <v>38624711</v>
      </c>
      <c r="U11" s="172">
        <v>32148424</v>
      </c>
      <c r="V11" s="172">
        <v>6476087</v>
      </c>
      <c r="W11" s="135">
        <f t="shared" si="17"/>
        <v>0.16766693736556371</v>
      </c>
    </row>
    <row r="12" spans="1:220">
      <c r="A12" s="15">
        <v>2013</v>
      </c>
      <c r="B12" s="528">
        <v>51</v>
      </c>
      <c r="C12" s="528">
        <v>9</v>
      </c>
      <c r="D12" s="23">
        <f>B12+C12</f>
        <v>60</v>
      </c>
      <c r="E12" s="82">
        <f t="shared" ref="E12:E23" si="18">ROUND((O12/B12), 0)</f>
        <v>22</v>
      </c>
      <c r="F12" s="82">
        <f t="shared" ref="F12:F23" si="19">ROUND((O12/D12), 0)</f>
        <v>19</v>
      </c>
      <c r="G12" s="85"/>
      <c r="H12" s="85"/>
      <c r="I12" s="528">
        <v>76</v>
      </c>
      <c r="J12" s="528">
        <v>79</v>
      </c>
      <c r="K12" s="23">
        <f>I12+J12</f>
        <v>155</v>
      </c>
      <c r="L12" s="528">
        <v>31</v>
      </c>
      <c r="M12" s="82">
        <f>I12+L12</f>
        <v>107</v>
      </c>
      <c r="N12" s="528">
        <v>10</v>
      </c>
      <c r="O12" s="230">
        <v>1116.5</v>
      </c>
      <c r="P12" s="133">
        <f t="shared" si="16"/>
        <v>9.5835199283475142E-2</v>
      </c>
      <c r="Q12" s="528">
        <v>81</v>
      </c>
      <c r="R12" s="528">
        <v>378</v>
      </c>
      <c r="S12" s="84">
        <v>38330069</v>
      </c>
      <c r="T12" s="205">
        <f t="shared" ref="T12:T23" si="20">SUM(U12:V12)</f>
        <v>37590415</v>
      </c>
      <c r="U12" s="204">
        <v>31114626</v>
      </c>
      <c r="V12" s="204">
        <v>6475789</v>
      </c>
      <c r="W12" s="135">
        <f t="shared" si="17"/>
        <v>0.17227234655430115</v>
      </c>
    </row>
    <row r="13" spans="1:220">
      <c r="A13" s="15">
        <v>2012</v>
      </c>
      <c r="B13" s="528">
        <v>51</v>
      </c>
      <c r="C13" s="528">
        <v>14.25</v>
      </c>
      <c r="D13" s="23">
        <f>B13+C13</f>
        <v>65.25</v>
      </c>
      <c r="E13" s="82">
        <f t="shared" si="18"/>
        <v>23</v>
      </c>
      <c r="F13" s="82">
        <f t="shared" si="19"/>
        <v>18</v>
      </c>
      <c r="G13" s="85"/>
      <c r="H13" s="85"/>
      <c r="I13" s="528">
        <v>149</v>
      </c>
      <c r="J13" s="528">
        <v>149</v>
      </c>
      <c r="K13" s="23">
        <f>I13+J13</f>
        <v>298</v>
      </c>
      <c r="L13" s="528">
        <v>96</v>
      </c>
      <c r="M13" s="82">
        <f>I13+L13</f>
        <v>245</v>
      </c>
      <c r="N13" s="528">
        <v>11</v>
      </c>
      <c r="O13" s="230">
        <v>1161</v>
      </c>
      <c r="P13" s="133">
        <f t="shared" si="16"/>
        <v>0.21102497846683893</v>
      </c>
      <c r="Q13" s="528">
        <v>99</v>
      </c>
      <c r="R13" s="528">
        <v>474</v>
      </c>
      <c r="S13" s="84">
        <v>39000448</v>
      </c>
      <c r="T13" s="205">
        <f t="shared" si="20"/>
        <v>38675474</v>
      </c>
      <c r="U13" s="204">
        <v>31204990</v>
      </c>
      <c r="V13" s="204">
        <v>7470484</v>
      </c>
      <c r="W13" s="135">
        <f t="shared" si="17"/>
        <v>0.19315817564382015</v>
      </c>
    </row>
    <row r="14" spans="1:220">
      <c r="A14" s="15" t="s">
        <v>26</v>
      </c>
      <c r="B14" s="528">
        <v>44</v>
      </c>
      <c r="C14" s="528">
        <v>12</v>
      </c>
      <c r="D14" s="23">
        <f t="shared" ref="D14:D23" si="21">SUM(B14:C14)</f>
        <v>56</v>
      </c>
      <c r="E14" s="82">
        <f t="shared" si="18"/>
        <v>25</v>
      </c>
      <c r="F14" s="82">
        <f t="shared" si="19"/>
        <v>19</v>
      </c>
      <c r="G14" s="85"/>
      <c r="H14" s="85"/>
      <c r="I14" s="528">
        <v>57</v>
      </c>
      <c r="J14" s="528">
        <v>74</v>
      </c>
      <c r="K14" s="23">
        <f t="shared" ref="K14:K23" si="22">SUM(I14:J14)</f>
        <v>131</v>
      </c>
      <c r="L14" s="528">
        <v>30</v>
      </c>
      <c r="M14" s="82">
        <f t="shared" ref="M14:M23" si="23">(I14+L14)</f>
        <v>87</v>
      </c>
      <c r="N14" s="528">
        <v>13</v>
      </c>
      <c r="O14" s="230">
        <v>1086</v>
      </c>
      <c r="P14" s="133">
        <f t="shared" si="16"/>
        <v>8.0110497237569064E-2</v>
      </c>
      <c r="Q14" s="528">
        <v>63</v>
      </c>
      <c r="R14" s="528">
        <v>369</v>
      </c>
      <c r="S14" s="84">
        <v>38400127</v>
      </c>
      <c r="T14" s="205">
        <f t="shared" si="20"/>
        <v>33772677</v>
      </c>
      <c r="U14" s="204">
        <v>29259992</v>
      </c>
      <c r="V14" s="204">
        <v>4512685</v>
      </c>
      <c r="W14" s="135">
        <f t="shared" si="17"/>
        <v>0.13361940482242493</v>
      </c>
    </row>
    <row r="15" spans="1:220">
      <c r="A15" s="15" t="s">
        <v>27</v>
      </c>
      <c r="B15" s="528">
        <v>45</v>
      </c>
      <c r="C15" s="528">
        <v>12</v>
      </c>
      <c r="D15" s="23">
        <f t="shared" si="21"/>
        <v>57</v>
      </c>
      <c r="E15" s="82">
        <f t="shared" si="18"/>
        <v>24</v>
      </c>
      <c r="F15" s="82">
        <f t="shared" si="19"/>
        <v>19</v>
      </c>
      <c r="G15" s="85"/>
      <c r="H15" s="85"/>
      <c r="I15" s="528">
        <v>82</v>
      </c>
      <c r="J15" s="528">
        <v>99</v>
      </c>
      <c r="K15" s="23">
        <f t="shared" si="22"/>
        <v>181</v>
      </c>
      <c r="L15" s="528">
        <v>35</v>
      </c>
      <c r="M15" s="82">
        <f t="shared" si="23"/>
        <v>117</v>
      </c>
      <c r="N15" s="528">
        <v>15</v>
      </c>
      <c r="O15" s="230">
        <v>1072.5</v>
      </c>
      <c r="P15" s="133">
        <f t="shared" si="16"/>
        <v>0.10909090909090909</v>
      </c>
      <c r="Q15" s="528">
        <v>74</v>
      </c>
      <c r="R15" s="528">
        <v>263</v>
      </c>
      <c r="S15" s="84">
        <v>28937012.699999999</v>
      </c>
      <c r="T15" s="205">
        <f t="shared" si="20"/>
        <v>28856482</v>
      </c>
      <c r="U15" s="204">
        <v>25910980</v>
      </c>
      <c r="V15" s="204">
        <v>2945502</v>
      </c>
      <c r="W15" s="135">
        <f t="shared" si="17"/>
        <v>0.10207418908514211</v>
      </c>
    </row>
    <row r="16" spans="1:220">
      <c r="A16" s="15" t="s">
        <v>28</v>
      </c>
      <c r="B16" s="528">
        <v>45</v>
      </c>
      <c r="C16" s="528">
        <v>12</v>
      </c>
      <c r="D16" s="23">
        <f t="shared" si="21"/>
        <v>57</v>
      </c>
      <c r="E16" s="82">
        <f t="shared" si="18"/>
        <v>23</v>
      </c>
      <c r="F16" s="82">
        <f t="shared" si="19"/>
        <v>19</v>
      </c>
      <c r="G16" s="85"/>
      <c r="H16" s="85"/>
      <c r="I16" s="528">
        <v>78</v>
      </c>
      <c r="J16" s="528">
        <v>115</v>
      </c>
      <c r="K16" s="23">
        <f t="shared" si="22"/>
        <v>193</v>
      </c>
      <c r="L16" s="528">
        <v>39.5</v>
      </c>
      <c r="M16" s="82">
        <f t="shared" si="23"/>
        <v>117.5</v>
      </c>
      <c r="N16" s="528">
        <v>17</v>
      </c>
      <c r="O16" s="230">
        <v>1054.5</v>
      </c>
      <c r="P16" s="133">
        <f t="shared" si="16"/>
        <v>0.11142721669037459</v>
      </c>
      <c r="Q16" s="528">
        <v>72</v>
      </c>
      <c r="R16" s="528">
        <v>269</v>
      </c>
      <c r="S16" s="84">
        <v>26538996</v>
      </c>
      <c r="T16" s="205">
        <f t="shared" si="20"/>
        <v>27261216</v>
      </c>
      <c r="U16" s="204">
        <v>23380170</v>
      </c>
      <c r="V16" s="204">
        <v>3881046</v>
      </c>
      <c r="W16" s="135">
        <f t="shared" si="17"/>
        <v>0.14236510946540315</v>
      </c>
    </row>
    <row r="17" spans="1:23">
      <c r="A17" s="15" t="s">
        <v>29</v>
      </c>
      <c r="B17" s="528">
        <v>39</v>
      </c>
      <c r="C17" s="528">
        <v>12</v>
      </c>
      <c r="D17" s="23">
        <f t="shared" si="21"/>
        <v>51</v>
      </c>
      <c r="E17" s="82">
        <f t="shared" si="18"/>
        <v>30</v>
      </c>
      <c r="F17" s="82">
        <f t="shared" si="19"/>
        <v>23</v>
      </c>
      <c r="G17" s="85"/>
      <c r="H17" s="85"/>
      <c r="I17" s="528">
        <v>52</v>
      </c>
      <c r="J17" s="528">
        <v>97</v>
      </c>
      <c r="K17" s="23">
        <f t="shared" si="22"/>
        <v>149</v>
      </c>
      <c r="L17" s="528">
        <v>28</v>
      </c>
      <c r="M17" s="82">
        <f t="shared" si="23"/>
        <v>80</v>
      </c>
      <c r="N17" s="528">
        <v>33</v>
      </c>
      <c r="O17" s="230">
        <v>1155</v>
      </c>
      <c r="P17" s="133">
        <f t="shared" si="16"/>
        <v>6.9264069264069264E-2</v>
      </c>
      <c r="Q17" s="528">
        <v>67</v>
      </c>
      <c r="R17" s="528">
        <v>373</v>
      </c>
      <c r="S17" s="84">
        <v>25731643</v>
      </c>
      <c r="T17" s="205">
        <f t="shared" si="20"/>
        <v>28056383</v>
      </c>
      <c r="U17" s="204">
        <v>22709717</v>
      </c>
      <c r="V17" s="204">
        <v>5346666</v>
      </c>
      <c r="W17" s="135">
        <f t="shared" si="17"/>
        <v>0.1905686132100492</v>
      </c>
    </row>
    <row r="18" spans="1:23">
      <c r="A18" s="15">
        <v>2007</v>
      </c>
      <c r="B18" s="528">
        <v>39</v>
      </c>
      <c r="C18" s="528">
        <v>12</v>
      </c>
      <c r="D18" s="23">
        <f t="shared" si="21"/>
        <v>51</v>
      </c>
      <c r="E18" s="82">
        <f t="shared" si="18"/>
        <v>23</v>
      </c>
      <c r="F18" s="82">
        <f t="shared" si="19"/>
        <v>18</v>
      </c>
      <c r="G18" s="85"/>
      <c r="H18" s="85"/>
      <c r="I18" s="528">
        <v>89</v>
      </c>
      <c r="J18" s="528">
        <v>247</v>
      </c>
      <c r="K18" s="23">
        <f t="shared" si="22"/>
        <v>336</v>
      </c>
      <c r="L18" s="528">
        <v>86.5</v>
      </c>
      <c r="M18" s="82">
        <f t="shared" si="23"/>
        <v>175.5</v>
      </c>
      <c r="N18" s="528">
        <v>44</v>
      </c>
      <c r="O18" s="230">
        <v>905</v>
      </c>
      <c r="P18" s="133">
        <f t="shared" si="16"/>
        <v>0.19392265193370165</v>
      </c>
      <c r="Q18" s="528">
        <v>86</v>
      </c>
      <c r="R18" s="528">
        <v>279</v>
      </c>
      <c r="S18" s="148">
        <v>22579174</v>
      </c>
      <c r="T18" s="205">
        <f t="shared" si="20"/>
        <v>23932805</v>
      </c>
      <c r="U18" s="204">
        <v>20013427</v>
      </c>
      <c r="V18" s="204">
        <v>3919378</v>
      </c>
      <c r="W18" s="135">
        <f t="shared" si="17"/>
        <v>0.16376592714477053</v>
      </c>
    </row>
    <row r="19" spans="1:23">
      <c r="A19" s="15">
        <v>2006</v>
      </c>
      <c r="B19" s="528">
        <v>40</v>
      </c>
      <c r="C19" s="528">
        <v>12</v>
      </c>
      <c r="D19" s="23">
        <f t="shared" si="21"/>
        <v>52</v>
      </c>
      <c r="E19" s="82">
        <f t="shared" si="18"/>
        <v>23</v>
      </c>
      <c r="F19" s="82">
        <f t="shared" si="19"/>
        <v>17</v>
      </c>
      <c r="G19" s="85"/>
      <c r="H19" s="85"/>
      <c r="I19" s="528">
        <v>55</v>
      </c>
      <c r="J19" s="528">
        <v>151</v>
      </c>
      <c r="K19" s="23">
        <f t="shared" si="22"/>
        <v>206</v>
      </c>
      <c r="L19" s="528">
        <v>50</v>
      </c>
      <c r="M19" s="82">
        <f t="shared" si="23"/>
        <v>105</v>
      </c>
      <c r="N19" s="528">
        <v>22</v>
      </c>
      <c r="O19" s="230">
        <v>904</v>
      </c>
      <c r="P19" s="133">
        <f t="shared" si="16"/>
        <v>0.11615044247787611</v>
      </c>
      <c r="Q19" s="528">
        <v>58</v>
      </c>
      <c r="R19" s="528">
        <v>307</v>
      </c>
      <c r="S19" s="132">
        <v>9347242.6999999993</v>
      </c>
      <c r="T19" s="205">
        <f t="shared" si="20"/>
        <v>9661882.3100000005</v>
      </c>
      <c r="U19" s="204">
        <v>6193620.7300000004</v>
      </c>
      <c r="V19" s="204">
        <v>3468261.58</v>
      </c>
      <c r="W19" s="135">
        <f t="shared" si="17"/>
        <v>0.35896334365513505</v>
      </c>
    </row>
    <row r="20" spans="1:23">
      <c r="A20" s="15">
        <v>2005</v>
      </c>
      <c r="B20" s="528">
        <v>41</v>
      </c>
      <c r="C20" s="528">
        <v>10</v>
      </c>
      <c r="D20" s="23">
        <f t="shared" si="21"/>
        <v>51</v>
      </c>
      <c r="E20" s="82">
        <f t="shared" si="18"/>
        <v>19</v>
      </c>
      <c r="F20" s="82">
        <f t="shared" si="19"/>
        <v>15</v>
      </c>
      <c r="G20" s="85"/>
      <c r="H20" s="85"/>
      <c r="I20" s="528">
        <v>67</v>
      </c>
      <c r="J20" s="528">
        <v>179</v>
      </c>
      <c r="K20" s="23">
        <f t="shared" si="22"/>
        <v>246</v>
      </c>
      <c r="L20" s="528">
        <v>70</v>
      </c>
      <c r="M20" s="82">
        <f t="shared" si="23"/>
        <v>137</v>
      </c>
      <c r="N20" s="528">
        <v>18</v>
      </c>
      <c r="O20" s="230">
        <v>779</v>
      </c>
      <c r="P20" s="133">
        <f t="shared" si="16"/>
        <v>0.17586649550706032</v>
      </c>
      <c r="Q20" s="528">
        <v>70</v>
      </c>
      <c r="R20" s="528">
        <v>303</v>
      </c>
      <c r="S20" s="132">
        <v>10869518</v>
      </c>
      <c r="T20" s="205">
        <f t="shared" si="20"/>
        <v>10869518</v>
      </c>
      <c r="U20" s="204">
        <v>5824249</v>
      </c>
      <c r="V20" s="204">
        <v>5045269</v>
      </c>
      <c r="W20" s="135">
        <f t="shared" si="17"/>
        <v>0.46416676434042431</v>
      </c>
    </row>
    <row r="21" spans="1:23">
      <c r="A21" s="15">
        <v>2004</v>
      </c>
      <c r="B21" s="528">
        <v>41</v>
      </c>
      <c r="C21" s="528">
        <v>10</v>
      </c>
      <c r="D21" s="23">
        <f t="shared" si="21"/>
        <v>51</v>
      </c>
      <c r="E21" s="82">
        <f t="shared" si="18"/>
        <v>19</v>
      </c>
      <c r="F21" s="82">
        <f t="shared" si="19"/>
        <v>16</v>
      </c>
      <c r="G21" s="85"/>
      <c r="H21" s="85"/>
      <c r="I21" s="528">
        <v>45</v>
      </c>
      <c r="J21" s="528">
        <v>112</v>
      </c>
      <c r="K21" s="23">
        <f t="shared" si="22"/>
        <v>157</v>
      </c>
      <c r="L21" s="528">
        <v>55</v>
      </c>
      <c r="M21" s="82">
        <f t="shared" si="23"/>
        <v>100</v>
      </c>
      <c r="N21" s="528">
        <v>3</v>
      </c>
      <c r="O21" s="230">
        <v>792</v>
      </c>
      <c r="P21" s="133">
        <f t="shared" si="16"/>
        <v>0.12626262626262627</v>
      </c>
      <c r="Q21" s="528">
        <v>63</v>
      </c>
      <c r="R21" s="528">
        <v>457</v>
      </c>
      <c r="S21" s="132">
        <v>10302545</v>
      </c>
      <c r="T21" s="205">
        <f t="shared" si="20"/>
        <v>10490878</v>
      </c>
      <c r="U21" s="204">
        <v>5507086</v>
      </c>
      <c r="V21" s="204">
        <v>4983792</v>
      </c>
      <c r="W21" s="135">
        <f t="shared" si="17"/>
        <v>0.47505957080046113</v>
      </c>
    </row>
    <row r="22" spans="1:23">
      <c r="A22" s="15">
        <v>2003</v>
      </c>
      <c r="B22" s="528">
        <v>41</v>
      </c>
      <c r="C22" s="528">
        <v>13</v>
      </c>
      <c r="D22" s="23">
        <f t="shared" si="21"/>
        <v>54</v>
      </c>
      <c r="E22" s="82">
        <f t="shared" si="18"/>
        <v>28</v>
      </c>
      <c r="F22" s="82">
        <f t="shared" si="19"/>
        <v>21</v>
      </c>
      <c r="G22" s="85"/>
      <c r="H22" s="85"/>
      <c r="I22" s="528">
        <v>55</v>
      </c>
      <c r="J22" s="528">
        <v>167</v>
      </c>
      <c r="K22" s="23">
        <f t="shared" si="22"/>
        <v>222</v>
      </c>
      <c r="L22" s="528">
        <v>90</v>
      </c>
      <c r="M22" s="82">
        <f t="shared" si="23"/>
        <v>145</v>
      </c>
      <c r="N22" s="528">
        <v>12</v>
      </c>
      <c r="O22" s="230">
        <v>1132</v>
      </c>
      <c r="P22" s="133">
        <f t="shared" si="16"/>
        <v>0.12809187279151943</v>
      </c>
      <c r="Q22" s="528">
        <v>75</v>
      </c>
      <c r="R22" s="528">
        <v>369</v>
      </c>
      <c r="S22" s="132">
        <v>9494208</v>
      </c>
      <c r="T22" s="205">
        <f t="shared" si="20"/>
        <v>9494208</v>
      </c>
      <c r="U22" s="204">
        <v>5484646</v>
      </c>
      <c r="V22" s="204">
        <v>4009562</v>
      </c>
      <c r="W22" s="135">
        <f t="shared" si="17"/>
        <v>0.42231663768057326</v>
      </c>
    </row>
    <row r="23" spans="1:23">
      <c r="A23" s="15">
        <v>2002</v>
      </c>
      <c r="B23" s="528">
        <v>41</v>
      </c>
      <c r="C23" s="528">
        <v>14.25</v>
      </c>
      <c r="D23" s="23">
        <f t="shared" si="21"/>
        <v>55.25</v>
      </c>
      <c r="E23" s="82">
        <f t="shared" si="18"/>
        <v>20</v>
      </c>
      <c r="F23" s="82">
        <f t="shared" si="19"/>
        <v>15</v>
      </c>
      <c r="G23" s="85"/>
      <c r="H23" s="85"/>
      <c r="I23" s="528">
        <v>48</v>
      </c>
      <c r="J23" s="528">
        <v>153</v>
      </c>
      <c r="K23" s="23">
        <f t="shared" si="22"/>
        <v>201</v>
      </c>
      <c r="L23" s="528">
        <v>76</v>
      </c>
      <c r="M23" s="82">
        <f t="shared" si="23"/>
        <v>124</v>
      </c>
      <c r="N23" s="528">
        <v>15</v>
      </c>
      <c r="O23" s="230">
        <f>ROUND(826.56, 0)</f>
        <v>827</v>
      </c>
      <c r="P23" s="133">
        <f t="shared" si="16"/>
        <v>0.14993954050785974</v>
      </c>
      <c r="Q23" s="528">
        <v>76</v>
      </c>
      <c r="R23" s="528">
        <v>283</v>
      </c>
      <c r="S23" s="132">
        <v>9008001</v>
      </c>
      <c r="T23" s="205">
        <f t="shared" si="20"/>
        <v>9008001</v>
      </c>
      <c r="U23" s="204">
        <v>4740278</v>
      </c>
      <c r="V23" s="204">
        <v>4267723</v>
      </c>
      <c r="W23" s="135">
        <f t="shared" si="17"/>
        <v>0.47377026268092109</v>
      </c>
    </row>
    <row r="24" spans="1:23" s="12" customFormat="1">
      <c r="T24" s="231"/>
      <c r="U24" s="231"/>
      <c r="V24" s="231"/>
    </row>
    <row r="25" spans="1:23" s="12" customFormat="1"/>
    <row r="26" spans="1:23" s="12" customFormat="1"/>
    <row r="27" spans="1:23" s="12" customFormat="1"/>
    <row r="28" spans="1:23" s="12" customFormat="1"/>
    <row r="29" spans="1:23" s="12" customFormat="1"/>
    <row r="30" spans="1:23" s="12" customFormat="1"/>
    <row r="31" spans="1:23" s="12" customFormat="1"/>
    <row r="32" spans="1:23" s="12" customFormat="1"/>
    <row r="33" s="12" customFormat="1"/>
  </sheetData>
  <printOptions headings="1" gridLines="1"/>
  <pageMargins left="0.5" right="0.5" top="0.5" bottom="0.5" header="0" footer="0"/>
  <pageSetup paperSize="5" scale="66" orientation="landscape"/>
  <legacyDrawing r:id="rId1"/>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HL31"/>
  <sheetViews>
    <sheetView workbookViewId="0">
      <selection activeCell="G5" sqref="G5"/>
    </sheetView>
  </sheetViews>
  <sheetFormatPr defaultColWidth="8.85546875" defaultRowHeight="15"/>
  <cols>
    <col min="1" max="1" width="10.285156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22" width="13.28515625" bestFit="1" customWidth="1"/>
    <col min="23" max="23" width="12.85546875" bestFit="1" customWidth="1"/>
  </cols>
  <sheetData>
    <row r="1" spans="1:220" s="7" customFormat="1" ht="18.75">
      <c r="A1" s="1" t="s">
        <v>212</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80" customFormat="1">
      <c r="A3" s="105">
        <v>2022</v>
      </c>
      <c r="B3" s="66">
        <v>17</v>
      </c>
      <c r="C3" s="66">
        <v>4</v>
      </c>
      <c r="D3" s="65">
        <f t="shared" ref="D3" si="0">SUM(B3:C3)</f>
        <v>21</v>
      </c>
      <c r="E3" s="13">
        <f t="shared" ref="E3" si="1">ROUND((O3/B3), 0)</f>
        <v>21</v>
      </c>
      <c r="F3" s="13">
        <f t="shared" ref="F3" si="2">ROUND((O3/D3), 0)</f>
        <v>17</v>
      </c>
      <c r="G3" s="66">
        <v>16</v>
      </c>
      <c r="H3" s="66">
        <v>4</v>
      </c>
      <c r="I3" s="66">
        <v>105</v>
      </c>
      <c r="J3" s="66">
        <v>177</v>
      </c>
      <c r="K3" s="65">
        <f t="shared" ref="K3" si="3">SUM(I3:J3)</f>
        <v>282</v>
      </c>
      <c r="L3" s="66">
        <v>96.85</v>
      </c>
      <c r="M3" s="82">
        <f t="shared" ref="M3" si="4">(I3+L3)</f>
        <v>201.85</v>
      </c>
      <c r="N3" s="66">
        <v>40</v>
      </c>
      <c r="O3" s="66">
        <v>353.46</v>
      </c>
      <c r="P3" s="134">
        <f>M3/O3</f>
        <v>0.57106886210603747</v>
      </c>
      <c r="Q3" s="66">
        <v>130</v>
      </c>
      <c r="R3" s="66">
        <v>17</v>
      </c>
      <c r="S3" s="378">
        <v>2630955</v>
      </c>
      <c r="T3" s="379">
        <f t="shared" ref="T3" si="5">SUM(U3:V3)</f>
        <v>5504762</v>
      </c>
      <c r="U3" s="378">
        <v>1830865</v>
      </c>
      <c r="V3" s="378">
        <v>3673897</v>
      </c>
      <c r="W3" s="336">
        <f>V3/T3</f>
        <v>0.66740342270928332</v>
      </c>
    </row>
    <row r="4" spans="1:220" s="80" customFormat="1">
      <c r="A4" s="105">
        <v>2021</v>
      </c>
      <c r="B4" s="66">
        <v>16</v>
      </c>
      <c r="C4" s="66">
        <v>3.75</v>
      </c>
      <c r="D4" s="65">
        <f t="shared" ref="D4" si="6">SUM(B4:C4)</f>
        <v>19.75</v>
      </c>
      <c r="E4" s="13">
        <f t="shared" ref="E4" si="7">ROUND((O4/B4), 0)</f>
        <v>18</v>
      </c>
      <c r="F4" s="13">
        <f t="shared" ref="F4" si="8">ROUND((O4/D4), 0)</f>
        <v>15</v>
      </c>
      <c r="G4" s="66">
        <v>16</v>
      </c>
      <c r="H4" s="66">
        <v>2.75</v>
      </c>
      <c r="I4" s="66">
        <v>103</v>
      </c>
      <c r="J4" s="66">
        <v>204</v>
      </c>
      <c r="K4" s="65">
        <f t="shared" ref="K4" si="9">SUM(I4:J4)</f>
        <v>307</v>
      </c>
      <c r="L4" s="66">
        <v>103.16</v>
      </c>
      <c r="M4" s="82">
        <f>(I4+L4)</f>
        <v>206.16</v>
      </c>
      <c r="N4" s="66">
        <v>29</v>
      </c>
      <c r="O4" s="66">
        <v>294.77999999999997</v>
      </c>
      <c r="P4" s="134">
        <f>M4/O4</f>
        <v>0.69936902096478737</v>
      </c>
      <c r="Q4" s="66">
        <v>105</v>
      </c>
      <c r="R4" s="66">
        <v>1</v>
      </c>
      <c r="S4" s="378">
        <v>2842724</v>
      </c>
      <c r="T4" s="379">
        <f t="shared" ref="T4" si="10">SUM(U4:V4)</f>
        <v>5999237</v>
      </c>
      <c r="U4" s="378">
        <v>1395881</v>
      </c>
      <c r="V4" s="378">
        <v>4603356</v>
      </c>
      <c r="W4" s="336">
        <f>V4/T4</f>
        <v>0.76732357798166662</v>
      </c>
    </row>
    <row r="5" spans="1:220" s="80" customFormat="1">
      <c r="A5" s="105">
        <v>2020</v>
      </c>
      <c r="B5" s="66">
        <v>15</v>
      </c>
      <c r="C5" s="66">
        <v>4.5</v>
      </c>
      <c r="D5" s="65">
        <f>SUM(B5:C5)</f>
        <v>19.5</v>
      </c>
      <c r="E5" s="13">
        <f>ROUND((O5/B5), 0)</f>
        <v>15</v>
      </c>
      <c r="F5" s="13">
        <f>ROUND((O5/D5), 0)</f>
        <v>12</v>
      </c>
      <c r="G5" s="66">
        <v>15</v>
      </c>
      <c r="H5" s="66">
        <v>3</v>
      </c>
      <c r="I5" s="66">
        <v>116</v>
      </c>
      <c r="J5" s="66">
        <v>192</v>
      </c>
      <c r="K5" s="65">
        <f t="shared" ref="K5" si="11">SUM(I5:J5)</f>
        <v>308</v>
      </c>
      <c r="L5" s="66">
        <v>101.91</v>
      </c>
      <c r="M5" s="82">
        <f>(I5+L5)</f>
        <v>217.91</v>
      </c>
      <c r="N5" s="66">
        <v>26</v>
      </c>
      <c r="O5" s="66">
        <v>227</v>
      </c>
      <c r="P5" s="134">
        <f>M5/O5</f>
        <v>0.95995594713656385</v>
      </c>
      <c r="Q5" s="66">
        <v>103</v>
      </c>
      <c r="R5" s="66">
        <v>0</v>
      </c>
      <c r="S5" s="378">
        <v>2606225</v>
      </c>
      <c r="T5" s="379">
        <f>SUM(U5:V5)</f>
        <v>4820954</v>
      </c>
      <c r="U5" s="378">
        <v>1912194</v>
      </c>
      <c r="V5" s="378">
        <v>2908760</v>
      </c>
      <c r="W5" s="336">
        <f>V5/T5</f>
        <v>0.60335775865108854</v>
      </c>
    </row>
    <row r="6" spans="1:220" s="80" customFormat="1" ht="15.75">
      <c r="A6" s="105">
        <v>2019</v>
      </c>
      <c r="B6" s="66">
        <v>13</v>
      </c>
      <c r="C6" s="66">
        <v>4.25</v>
      </c>
      <c r="D6" s="380">
        <f>SUM(B6:C6)</f>
        <v>17.25</v>
      </c>
      <c r="E6" s="381">
        <f>ROUND((O6/B6), 0)</f>
        <v>23</v>
      </c>
      <c r="F6" s="381">
        <f>ROUND((O6/D6), 0)</f>
        <v>17</v>
      </c>
      <c r="G6" s="66">
        <v>13</v>
      </c>
      <c r="H6" s="66">
        <v>3</v>
      </c>
      <c r="I6" s="66">
        <v>96</v>
      </c>
      <c r="J6" s="66">
        <v>178</v>
      </c>
      <c r="K6" s="380">
        <f>SUM(I6:J6)</f>
        <v>274</v>
      </c>
      <c r="L6" s="66">
        <v>96.38</v>
      </c>
      <c r="M6" s="381">
        <f>(I6+L6)</f>
        <v>192.38</v>
      </c>
      <c r="N6" s="66">
        <v>22</v>
      </c>
      <c r="O6" s="66">
        <v>296</v>
      </c>
      <c r="P6" s="382">
        <f>M6/O6</f>
        <v>0.64993243243243237</v>
      </c>
      <c r="Q6" s="66">
        <v>60</v>
      </c>
      <c r="R6" s="66">
        <v>2</v>
      </c>
      <c r="S6" s="383">
        <f>2416358+1066184</f>
        <v>3482542</v>
      </c>
      <c r="T6" s="384">
        <f>SUM(U6:V6)</f>
        <v>3920004</v>
      </c>
      <c r="U6" s="383">
        <v>1826035</v>
      </c>
      <c r="V6" s="383">
        <v>2093969</v>
      </c>
      <c r="W6" s="336">
        <f>V6/T6</f>
        <v>0.53417522022936714</v>
      </c>
    </row>
    <row r="7" spans="1:220" s="14" customFormat="1">
      <c r="A7" s="10">
        <v>2018</v>
      </c>
      <c r="B7" s="17">
        <v>13</v>
      </c>
      <c r="C7" s="17">
        <v>3</v>
      </c>
      <c r="D7" s="23">
        <f>SUM(B7:C7)</f>
        <v>16</v>
      </c>
      <c r="E7" s="82">
        <f>ROUND((O7/B7), 0)</f>
        <v>19</v>
      </c>
      <c r="F7" s="82">
        <f>ROUND((O7/D7), 0)</f>
        <v>16</v>
      </c>
      <c r="G7" s="17">
        <v>13</v>
      </c>
      <c r="H7" s="17">
        <v>2</v>
      </c>
      <c r="I7" s="17">
        <v>86</v>
      </c>
      <c r="J7" s="17">
        <v>144</v>
      </c>
      <c r="K7" s="23">
        <f>SUM(I7:J7)</f>
        <v>230</v>
      </c>
      <c r="L7" s="17">
        <v>80.95</v>
      </c>
      <c r="M7" s="82">
        <f>(I7+L7)</f>
        <v>166.95</v>
      </c>
      <c r="N7" s="17">
        <v>15</v>
      </c>
      <c r="O7" s="17">
        <v>252</v>
      </c>
      <c r="P7" s="133">
        <f>M7/O7</f>
        <v>0.66249999999999998</v>
      </c>
      <c r="Q7" s="17">
        <v>59</v>
      </c>
      <c r="R7" s="17">
        <v>4</v>
      </c>
      <c r="S7" s="20">
        <f>SUM(2371995+919870)</f>
        <v>3291865</v>
      </c>
      <c r="T7" s="24">
        <f>SUM(U7:V7)</f>
        <v>3325836</v>
      </c>
      <c r="U7" s="20">
        <v>1946230</v>
      </c>
      <c r="V7" s="20">
        <v>1379606</v>
      </c>
      <c r="W7" s="135">
        <f>V7/T7</f>
        <v>0.41481480145142452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13</v>
      </c>
      <c r="C8" s="17">
        <v>3</v>
      </c>
      <c r="D8" s="27">
        <f>SUM(B8:C8)</f>
        <v>16</v>
      </c>
      <c r="E8" s="27">
        <f>ROUND((O8/B8), 0)</f>
        <v>17</v>
      </c>
      <c r="F8" s="27">
        <f>ROUND((O8/D8), 0)</f>
        <v>14</v>
      </c>
      <c r="G8" s="17">
        <v>13</v>
      </c>
      <c r="H8" s="17">
        <v>1</v>
      </c>
      <c r="I8" s="17">
        <v>71</v>
      </c>
      <c r="J8" s="17">
        <v>100</v>
      </c>
      <c r="K8" s="27">
        <f>SUM(I8:J8)</f>
        <v>171</v>
      </c>
      <c r="L8" s="17">
        <v>52.42</v>
      </c>
      <c r="M8" s="29">
        <f>(I8+L8)</f>
        <v>123.42</v>
      </c>
      <c r="N8" s="255">
        <v>14</v>
      </c>
      <c r="O8" s="255">
        <v>224</v>
      </c>
      <c r="P8" s="133">
        <f t="shared" ref="P8:P23" si="12">M8/O8</f>
        <v>0.55098214285714286</v>
      </c>
      <c r="Q8" s="17">
        <v>58</v>
      </c>
      <c r="R8" s="17">
        <v>1</v>
      </c>
      <c r="S8" s="223">
        <f>(2424044+1007475)</f>
        <v>3431519</v>
      </c>
      <c r="T8" s="28">
        <f>SUM(U8:V8)</f>
        <v>3663778</v>
      </c>
      <c r="U8" s="252">
        <v>1972814</v>
      </c>
      <c r="V8" s="20">
        <f>(441852+205738+35899+1007475)</f>
        <v>1690964</v>
      </c>
      <c r="W8" s="135">
        <f t="shared" ref="W8:W23" si="13">V8/T8</f>
        <v>0.46153560614207523</v>
      </c>
    </row>
    <row r="9" spans="1:220" s="9" customFormat="1">
      <c r="A9" s="10">
        <v>2016</v>
      </c>
      <c r="B9" s="17">
        <v>15</v>
      </c>
      <c r="C9" s="17">
        <v>3.5</v>
      </c>
      <c r="D9" s="65">
        <f>SUM(B9:C9)</f>
        <v>18.5</v>
      </c>
      <c r="E9" s="13">
        <f>ROUND((O9/B9), 0)</f>
        <v>13</v>
      </c>
      <c r="F9" s="13">
        <f>ROUND((O9/D9), 0)</f>
        <v>10</v>
      </c>
      <c r="G9" s="17">
        <v>15</v>
      </c>
      <c r="H9" s="17">
        <v>1</v>
      </c>
      <c r="I9" s="17">
        <v>60</v>
      </c>
      <c r="J9" s="17">
        <v>70</v>
      </c>
      <c r="K9" s="65">
        <f>I9+J9</f>
        <v>130</v>
      </c>
      <c r="L9" s="17">
        <v>30.11</v>
      </c>
      <c r="M9" s="13">
        <f>I9+L9</f>
        <v>90.11</v>
      </c>
      <c r="N9" s="17">
        <v>18</v>
      </c>
      <c r="O9" s="17">
        <v>190.95</v>
      </c>
      <c r="P9" s="133">
        <f t="shared" si="12"/>
        <v>0.47190363969625559</v>
      </c>
      <c r="Q9" s="17">
        <v>64</v>
      </c>
      <c r="R9" s="17">
        <v>1</v>
      </c>
      <c r="S9" s="20">
        <f>(2420380+1246778)</f>
        <v>3667158</v>
      </c>
      <c r="T9" s="68">
        <f>SUM(U9:V9)</f>
        <v>3850693</v>
      </c>
      <c r="U9" s="20">
        <v>1847521</v>
      </c>
      <c r="V9" s="20">
        <f>(523061+196037+37296+1246778)</f>
        <v>2003172</v>
      </c>
      <c r="W9" s="135">
        <f t="shared" si="13"/>
        <v>0.52021077764443957</v>
      </c>
    </row>
    <row r="10" spans="1:220" s="16" customFormat="1">
      <c r="A10" s="57">
        <v>2015</v>
      </c>
      <c r="B10" s="25">
        <v>14</v>
      </c>
      <c r="C10" s="25">
        <v>3.75</v>
      </c>
      <c r="D10" s="65">
        <v>15.8</v>
      </c>
      <c r="E10" s="65">
        <v>13.9</v>
      </c>
      <c r="F10" s="65">
        <v>12.3</v>
      </c>
      <c r="G10" s="83"/>
      <c r="H10" s="83"/>
      <c r="I10" s="25">
        <v>72</v>
      </c>
      <c r="J10" s="25">
        <v>68</v>
      </c>
      <c r="K10" s="65">
        <v>140</v>
      </c>
      <c r="L10" s="25">
        <v>37</v>
      </c>
      <c r="M10" s="65">
        <v>108.73</v>
      </c>
      <c r="N10" s="25">
        <v>13</v>
      </c>
      <c r="O10" s="25">
        <v>193.97</v>
      </c>
      <c r="P10" s="133">
        <f t="shared" si="12"/>
        <v>0.5605506006083415</v>
      </c>
      <c r="Q10" s="25">
        <v>82</v>
      </c>
      <c r="R10" s="25">
        <v>5</v>
      </c>
      <c r="S10" s="223">
        <f>(2135725+1903675)</f>
        <v>4039400</v>
      </c>
      <c r="T10" s="79">
        <v>5555119</v>
      </c>
      <c r="U10" s="223">
        <v>1594806</v>
      </c>
      <c r="V10" s="223">
        <f>(520324+104557+27399+1903675)</f>
        <v>2555955</v>
      </c>
      <c r="W10" s="135">
        <f t="shared" si="13"/>
        <v>0.46010805529098475</v>
      </c>
    </row>
    <row r="11" spans="1:220" s="16" customFormat="1">
      <c r="A11" s="15">
        <v>2014</v>
      </c>
      <c r="B11" s="25">
        <v>14</v>
      </c>
      <c r="C11" s="25">
        <v>3.75</v>
      </c>
      <c r="D11" s="65">
        <f t="shared" ref="D11:D23" si="14">SUM(B11:C11)</f>
        <v>17.75</v>
      </c>
      <c r="E11" s="13">
        <f t="shared" ref="E11:E23" si="15">ROUND((O11/B11), 0)</f>
        <v>16</v>
      </c>
      <c r="F11" s="13">
        <f t="shared" ref="F11:F23" si="16">ROUND((O11/D11), 0)</f>
        <v>13</v>
      </c>
      <c r="G11" s="83"/>
      <c r="H11" s="83"/>
      <c r="I11" s="25">
        <v>74</v>
      </c>
      <c r="J11" s="25">
        <v>101</v>
      </c>
      <c r="K11" s="65">
        <f>I11+J11</f>
        <v>175</v>
      </c>
      <c r="L11" s="25">
        <v>51.48</v>
      </c>
      <c r="M11" s="13">
        <f>I11+L11</f>
        <v>125.47999999999999</v>
      </c>
      <c r="N11" s="25">
        <v>20</v>
      </c>
      <c r="O11" s="25">
        <v>226</v>
      </c>
      <c r="P11" s="133">
        <f t="shared" si="12"/>
        <v>0.55522123893805309</v>
      </c>
      <c r="Q11" s="25">
        <v>70</v>
      </c>
      <c r="R11" s="25">
        <v>2</v>
      </c>
      <c r="S11" s="123">
        <f>(2107727+2500521)</f>
        <v>4608248</v>
      </c>
      <c r="T11" s="68">
        <f t="shared" ref="T11:T23" si="17">SUM(U11:V11)</f>
        <v>4698124</v>
      </c>
      <c r="U11" s="123">
        <v>1524544</v>
      </c>
      <c r="V11" s="123">
        <f>(562559+106500+4000+2500521)</f>
        <v>3173580</v>
      </c>
      <c r="W11" s="135">
        <f t="shared" si="13"/>
        <v>0.67549941210576814</v>
      </c>
    </row>
    <row r="12" spans="1:220">
      <c r="A12" s="15">
        <v>2013</v>
      </c>
      <c r="B12" s="529">
        <v>14</v>
      </c>
      <c r="C12" s="529">
        <v>4</v>
      </c>
      <c r="D12" s="23">
        <f t="shared" si="14"/>
        <v>18</v>
      </c>
      <c r="E12" s="82">
        <f t="shared" si="15"/>
        <v>18</v>
      </c>
      <c r="F12" s="82">
        <f t="shared" si="16"/>
        <v>14</v>
      </c>
      <c r="G12" s="85"/>
      <c r="H12" s="85"/>
      <c r="I12" s="529">
        <v>85</v>
      </c>
      <c r="J12" s="529">
        <v>122</v>
      </c>
      <c r="K12" s="23">
        <f>I12+J12</f>
        <v>207</v>
      </c>
      <c r="L12" s="529">
        <v>66</v>
      </c>
      <c r="M12" s="82">
        <f>I12+L12</f>
        <v>151</v>
      </c>
      <c r="N12" s="529">
        <v>19</v>
      </c>
      <c r="O12" s="529">
        <v>257.82</v>
      </c>
      <c r="P12" s="133">
        <f t="shared" si="12"/>
        <v>0.58567993173531918</v>
      </c>
      <c r="Q12" s="529">
        <v>61</v>
      </c>
      <c r="R12" s="529">
        <v>2</v>
      </c>
      <c r="S12" s="193">
        <f>(2076576+1996283)</f>
        <v>4072859</v>
      </c>
      <c r="T12" s="24">
        <f t="shared" si="17"/>
        <v>4011293</v>
      </c>
      <c r="U12" s="193">
        <v>1459196</v>
      </c>
      <c r="V12" s="193">
        <f>(549814+93657+50+1908576)</f>
        <v>2552097</v>
      </c>
      <c r="W12" s="135">
        <f t="shared" si="13"/>
        <v>0.63622801924466754</v>
      </c>
    </row>
    <row r="13" spans="1:220">
      <c r="A13" s="15">
        <v>2012</v>
      </c>
      <c r="B13" s="529">
        <v>12</v>
      </c>
      <c r="C13" s="529">
        <v>5</v>
      </c>
      <c r="D13" s="23">
        <f t="shared" si="14"/>
        <v>17</v>
      </c>
      <c r="E13" s="82">
        <f t="shared" si="15"/>
        <v>25</v>
      </c>
      <c r="F13" s="82">
        <f t="shared" si="16"/>
        <v>18</v>
      </c>
      <c r="G13" s="85"/>
      <c r="H13" s="85"/>
      <c r="I13" s="529">
        <v>110</v>
      </c>
      <c r="J13" s="529">
        <v>106</v>
      </c>
      <c r="K13" s="23">
        <f>I13+J13</f>
        <v>216</v>
      </c>
      <c r="L13" s="529">
        <v>56.3</v>
      </c>
      <c r="M13" s="82">
        <f>I13+L13</f>
        <v>166.3</v>
      </c>
      <c r="N13" s="529">
        <v>15</v>
      </c>
      <c r="O13" s="529">
        <v>297.76</v>
      </c>
      <c r="P13" s="133">
        <f t="shared" si="12"/>
        <v>0.55850349274583566</v>
      </c>
      <c r="Q13" s="529">
        <v>87</v>
      </c>
      <c r="R13" s="529">
        <v>4</v>
      </c>
      <c r="S13" s="193">
        <f>(1898677+1984807)</f>
        <v>3883484</v>
      </c>
      <c r="T13" s="24">
        <f t="shared" si="17"/>
        <v>4015322</v>
      </c>
      <c r="U13" s="193">
        <v>1466353</v>
      </c>
      <c r="V13" s="193">
        <f>(477191+85351+1620+1984807)</f>
        <v>2548969</v>
      </c>
      <c r="W13" s="135">
        <f t="shared" si="13"/>
        <v>0.63481060796618549</v>
      </c>
    </row>
    <row r="14" spans="1:220">
      <c r="A14" s="15" t="s">
        <v>26</v>
      </c>
      <c r="B14" s="529">
        <v>13</v>
      </c>
      <c r="C14" s="529">
        <v>4.25</v>
      </c>
      <c r="D14" s="23">
        <f t="shared" si="14"/>
        <v>17.25</v>
      </c>
      <c r="E14" s="82">
        <f t="shared" si="15"/>
        <v>21</v>
      </c>
      <c r="F14" s="82">
        <f t="shared" si="16"/>
        <v>16</v>
      </c>
      <c r="G14" s="85"/>
      <c r="H14" s="85"/>
      <c r="I14" s="529">
        <v>101</v>
      </c>
      <c r="J14" s="529">
        <v>119</v>
      </c>
      <c r="K14" s="23">
        <f t="shared" ref="K14:K23" si="18">SUM(I14:J14)</f>
        <v>220</v>
      </c>
      <c r="L14" s="529">
        <v>71.83</v>
      </c>
      <c r="M14" s="82">
        <f t="shared" ref="M14:M21" si="19">(I14+L14)</f>
        <v>172.82999999999998</v>
      </c>
      <c r="N14" s="529">
        <v>12</v>
      </c>
      <c r="O14" s="529">
        <v>274.23</v>
      </c>
      <c r="P14" s="133">
        <f t="shared" si="12"/>
        <v>0.63023739197024387</v>
      </c>
      <c r="Q14" s="529">
        <v>77</v>
      </c>
      <c r="R14" s="529">
        <v>3</v>
      </c>
      <c r="S14" s="193">
        <f>(1634443+1467470)</f>
        <v>3101913</v>
      </c>
      <c r="T14" s="24">
        <f t="shared" si="17"/>
        <v>3291419</v>
      </c>
      <c r="U14" s="193">
        <v>1280089</v>
      </c>
      <c r="V14" s="193">
        <f>(414946+90144+38770+1467470)</f>
        <v>2011330</v>
      </c>
      <c r="W14" s="135">
        <f t="shared" si="13"/>
        <v>0.61108294021514731</v>
      </c>
    </row>
    <row r="15" spans="1:220">
      <c r="A15" s="15" t="s">
        <v>27</v>
      </c>
      <c r="B15" s="529">
        <v>13</v>
      </c>
      <c r="C15" s="529">
        <v>3.75</v>
      </c>
      <c r="D15" s="23">
        <f t="shared" si="14"/>
        <v>16.75</v>
      </c>
      <c r="E15" s="82">
        <f t="shared" si="15"/>
        <v>21</v>
      </c>
      <c r="F15" s="82">
        <f t="shared" si="16"/>
        <v>16</v>
      </c>
      <c r="G15" s="85"/>
      <c r="H15" s="85"/>
      <c r="I15" s="529">
        <v>99</v>
      </c>
      <c r="J15" s="529">
        <v>128</v>
      </c>
      <c r="K15" s="23">
        <f t="shared" si="18"/>
        <v>227</v>
      </c>
      <c r="L15" s="529">
        <v>72.14</v>
      </c>
      <c r="M15" s="82">
        <f t="shared" si="19"/>
        <v>171.14</v>
      </c>
      <c r="N15" s="529">
        <v>12</v>
      </c>
      <c r="O15" s="529">
        <v>268.74</v>
      </c>
      <c r="P15" s="133">
        <f t="shared" si="12"/>
        <v>0.63682369576542375</v>
      </c>
      <c r="Q15" s="529">
        <v>62</v>
      </c>
      <c r="R15" s="529">
        <v>1</v>
      </c>
      <c r="S15" s="193">
        <f>(1504440+1016469)</f>
        <v>2520909</v>
      </c>
      <c r="T15" s="24">
        <f t="shared" si="17"/>
        <v>2621603</v>
      </c>
      <c r="U15" s="193">
        <v>1270500</v>
      </c>
      <c r="V15" s="193">
        <f>(250597+78837+5200+1016469)</f>
        <v>1351103</v>
      </c>
      <c r="W15" s="135">
        <f t="shared" si="13"/>
        <v>0.51537284630815572</v>
      </c>
    </row>
    <row r="16" spans="1:220">
      <c r="A16" s="15" t="s">
        <v>28</v>
      </c>
      <c r="B16" s="529">
        <v>12</v>
      </c>
      <c r="C16" s="529">
        <v>2.4</v>
      </c>
      <c r="D16" s="23">
        <f t="shared" si="14"/>
        <v>14.4</v>
      </c>
      <c r="E16" s="82">
        <f t="shared" si="15"/>
        <v>19</v>
      </c>
      <c r="F16" s="82">
        <f t="shared" si="16"/>
        <v>16</v>
      </c>
      <c r="G16" s="85"/>
      <c r="H16" s="85"/>
      <c r="I16" s="529">
        <v>91</v>
      </c>
      <c r="J16" s="529">
        <v>116</v>
      </c>
      <c r="K16" s="23">
        <f t="shared" si="18"/>
        <v>207</v>
      </c>
      <c r="L16" s="529">
        <v>61.51</v>
      </c>
      <c r="M16" s="82">
        <f t="shared" si="19"/>
        <v>152.51</v>
      </c>
      <c r="N16" s="529">
        <v>9</v>
      </c>
      <c r="O16" s="529">
        <v>226.53</v>
      </c>
      <c r="P16" s="133">
        <f t="shared" si="12"/>
        <v>0.67324416192115832</v>
      </c>
      <c r="Q16" s="529">
        <v>59</v>
      </c>
      <c r="R16" s="529">
        <v>1</v>
      </c>
      <c r="S16" s="193">
        <f>(1544510+726330)</f>
        <v>2270840</v>
      </c>
      <c r="T16" s="24">
        <f t="shared" si="17"/>
        <v>2340342</v>
      </c>
      <c r="U16" s="193">
        <v>1304753</v>
      </c>
      <c r="V16" s="193">
        <f>(73942+21035+726330+214282)</f>
        <v>1035589</v>
      </c>
      <c r="W16" s="135">
        <f t="shared" si="13"/>
        <v>0.44249472940279666</v>
      </c>
    </row>
    <row r="17" spans="1:23">
      <c r="A17" s="15" t="s">
        <v>29</v>
      </c>
      <c r="B17" s="529">
        <v>12</v>
      </c>
      <c r="C17" s="529">
        <v>3</v>
      </c>
      <c r="D17" s="23">
        <f t="shared" si="14"/>
        <v>15</v>
      </c>
      <c r="E17" s="82">
        <f t="shared" si="15"/>
        <v>12</v>
      </c>
      <c r="F17" s="82">
        <f t="shared" si="16"/>
        <v>9</v>
      </c>
      <c r="G17" s="85"/>
      <c r="H17" s="85"/>
      <c r="I17" s="529">
        <v>65</v>
      </c>
      <c r="J17" s="529">
        <v>116</v>
      </c>
      <c r="K17" s="23">
        <f t="shared" si="18"/>
        <v>181</v>
      </c>
      <c r="L17" s="529">
        <v>62.99</v>
      </c>
      <c r="M17" s="82">
        <f t="shared" si="19"/>
        <v>127.99000000000001</v>
      </c>
      <c r="N17" s="529">
        <v>10</v>
      </c>
      <c r="O17" s="529">
        <v>138</v>
      </c>
      <c r="P17" s="133">
        <f t="shared" si="12"/>
        <v>0.92746376811594211</v>
      </c>
      <c r="Q17" s="529">
        <v>75</v>
      </c>
      <c r="R17" s="529">
        <v>0</v>
      </c>
      <c r="S17" s="193">
        <f>(1559235+738115)</f>
        <v>2297350</v>
      </c>
      <c r="T17" s="24">
        <f t="shared" si="17"/>
        <v>2430491</v>
      </c>
      <c r="U17" s="193">
        <v>1540205</v>
      </c>
      <c r="V17" s="193">
        <f>(101917+29791+738115+20463)</f>
        <v>890286</v>
      </c>
      <c r="W17" s="135">
        <f t="shared" si="13"/>
        <v>0.36629882603967678</v>
      </c>
    </row>
    <row r="18" spans="1:23">
      <c r="A18" s="15">
        <v>2007</v>
      </c>
      <c r="B18" s="529">
        <v>12</v>
      </c>
      <c r="C18" s="529">
        <v>2.6</v>
      </c>
      <c r="D18" s="23">
        <f t="shared" si="14"/>
        <v>14.6</v>
      </c>
      <c r="E18" s="82">
        <f t="shared" si="15"/>
        <v>11</v>
      </c>
      <c r="F18" s="82">
        <f t="shared" si="16"/>
        <v>9</v>
      </c>
      <c r="G18" s="85"/>
      <c r="H18" s="85"/>
      <c r="I18" s="529">
        <v>71</v>
      </c>
      <c r="J18" s="529">
        <v>132</v>
      </c>
      <c r="K18" s="23">
        <f t="shared" si="18"/>
        <v>203</v>
      </c>
      <c r="L18" s="529">
        <v>58.89</v>
      </c>
      <c r="M18" s="82">
        <f t="shared" si="19"/>
        <v>129.88999999999999</v>
      </c>
      <c r="N18" s="529">
        <v>12</v>
      </c>
      <c r="O18" s="529">
        <v>137</v>
      </c>
      <c r="P18" s="133">
        <f t="shared" si="12"/>
        <v>0.94810218978102179</v>
      </c>
      <c r="Q18" s="529">
        <v>62</v>
      </c>
      <c r="R18" s="529">
        <v>0</v>
      </c>
      <c r="S18" s="232">
        <v>3871096</v>
      </c>
      <c r="T18" s="24">
        <f t="shared" si="17"/>
        <v>3871096</v>
      </c>
      <c r="U18" s="232">
        <v>1846382</v>
      </c>
      <c r="V18" s="232">
        <v>2024714</v>
      </c>
      <c r="W18" s="135">
        <f t="shared" si="13"/>
        <v>0.52303378681386359</v>
      </c>
    </row>
    <row r="19" spans="1:23">
      <c r="A19" s="15">
        <v>2006</v>
      </c>
      <c r="B19" s="529">
        <v>13</v>
      </c>
      <c r="C19" s="529">
        <v>2</v>
      </c>
      <c r="D19" s="23">
        <f t="shared" si="14"/>
        <v>15</v>
      </c>
      <c r="E19" s="82">
        <f t="shared" si="15"/>
        <v>11</v>
      </c>
      <c r="F19" s="82">
        <f t="shared" si="16"/>
        <v>10</v>
      </c>
      <c r="G19" s="85"/>
      <c r="H19" s="85"/>
      <c r="I19" s="529">
        <v>63</v>
      </c>
      <c r="J19" s="529">
        <v>141</v>
      </c>
      <c r="K19" s="23">
        <f t="shared" si="18"/>
        <v>204</v>
      </c>
      <c r="L19" s="529">
        <v>77</v>
      </c>
      <c r="M19" s="82">
        <f t="shared" si="19"/>
        <v>140</v>
      </c>
      <c r="N19" s="529">
        <v>13</v>
      </c>
      <c r="O19" s="529">
        <v>147</v>
      </c>
      <c r="P19" s="133">
        <f t="shared" si="12"/>
        <v>0.95238095238095233</v>
      </c>
      <c r="Q19" s="529">
        <v>75</v>
      </c>
      <c r="R19" s="529">
        <v>0</v>
      </c>
      <c r="S19" s="233">
        <v>3440231</v>
      </c>
      <c r="T19" s="24">
        <f t="shared" si="17"/>
        <v>3440231</v>
      </c>
      <c r="U19" s="233">
        <v>1559489</v>
      </c>
      <c r="V19" s="233">
        <v>1880742</v>
      </c>
      <c r="W19" s="135">
        <f t="shared" si="13"/>
        <v>0.54669061467093338</v>
      </c>
    </row>
    <row r="20" spans="1:23">
      <c r="A20" s="15">
        <v>2005</v>
      </c>
      <c r="B20" s="529">
        <v>12</v>
      </c>
      <c r="C20" s="529">
        <v>3</v>
      </c>
      <c r="D20" s="23">
        <f t="shared" si="14"/>
        <v>15</v>
      </c>
      <c r="E20" s="82">
        <f t="shared" si="15"/>
        <v>12</v>
      </c>
      <c r="F20" s="82">
        <f t="shared" si="16"/>
        <v>9</v>
      </c>
      <c r="G20" s="85"/>
      <c r="H20" s="85"/>
      <c r="I20" s="529">
        <v>54</v>
      </c>
      <c r="J20" s="529">
        <v>133</v>
      </c>
      <c r="K20" s="23">
        <f t="shared" si="18"/>
        <v>187</v>
      </c>
      <c r="L20" s="529">
        <v>80</v>
      </c>
      <c r="M20" s="82">
        <f t="shared" si="19"/>
        <v>134</v>
      </c>
      <c r="N20" s="529">
        <v>3</v>
      </c>
      <c r="O20" s="529">
        <v>139</v>
      </c>
      <c r="P20" s="133">
        <f t="shared" si="12"/>
        <v>0.96402877697841727</v>
      </c>
      <c r="Q20" s="529">
        <v>77</v>
      </c>
      <c r="R20" s="529">
        <v>0</v>
      </c>
      <c r="S20" s="233">
        <v>2871077</v>
      </c>
      <c r="T20" s="24">
        <f t="shared" si="17"/>
        <v>2871007</v>
      </c>
      <c r="U20" s="233">
        <v>1481381</v>
      </c>
      <c r="V20" s="233">
        <v>1389626</v>
      </c>
      <c r="W20" s="135">
        <f t="shared" si="13"/>
        <v>0.48402041513657057</v>
      </c>
    </row>
    <row r="21" spans="1:23">
      <c r="A21" s="15">
        <v>2004</v>
      </c>
      <c r="B21" s="529">
        <v>10</v>
      </c>
      <c r="C21" s="529">
        <v>4</v>
      </c>
      <c r="D21" s="23">
        <f t="shared" si="14"/>
        <v>14</v>
      </c>
      <c r="E21" s="82">
        <f t="shared" si="15"/>
        <v>17</v>
      </c>
      <c r="F21" s="82">
        <f t="shared" si="16"/>
        <v>12</v>
      </c>
      <c r="G21" s="85"/>
      <c r="H21" s="85"/>
      <c r="I21" s="529">
        <v>79</v>
      </c>
      <c r="J21" s="529">
        <v>152</v>
      </c>
      <c r="K21" s="23">
        <f t="shared" si="18"/>
        <v>231</v>
      </c>
      <c r="L21" s="529">
        <v>85</v>
      </c>
      <c r="M21" s="82">
        <f t="shared" si="19"/>
        <v>164</v>
      </c>
      <c r="N21" s="529">
        <v>4</v>
      </c>
      <c r="O21" s="529">
        <v>168</v>
      </c>
      <c r="P21" s="133">
        <f t="shared" si="12"/>
        <v>0.97619047619047616</v>
      </c>
      <c r="Q21" s="529">
        <v>64</v>
      </c>
      <c r="R21" s="529">
        <v>0</v>
      </c>
      <c r="S21" s="233">
        <v>2785277</v>
      </c>
      <c r="T21" s="24">
        <f t="shared" si="17"/>
        <v>3485565</v>
      </c>
      <c r="U21" s="233">
        <v>1273233</v>
      </c>
      <c r="V21" s="233">
        <v>2212332</v>
      </c>
      <c r="W21" s="135">
        <f t="shared" si="13"/>
        <v>0.63471259322376716</v>
      </c>
    </row>
    <row r="22" spans="1:23">
      <c r="A22" s="15">
        <v>2003</v>
      </c>
      <c r="B22" s="529">
        <v>10</v>
      </c>
      <c r="C22" s="529">
        <v>4</v>
      </c>
      <c r="D22" s="23">
        <f t="shared" si="14"/>
        <v>14</v>
      </c>
      <c r="E22" s="82">
        <f t="shared" si="15"/>
        <v>19</v>
      </c>
      <c r="F22" s="82">
        <f t="shared" si="16"/>
        <v>14</v>
      </c>
      <c r="G22" s="85"/>
      <c r="H22" s="85"/>
      <c r="I22" s="529">
        <v>99</v>
      </c>
      <c r="J22" s="529">
        <v>157</v>
      </c>
      <c r="K22" s="23">
        <f t="shared" si="18"/>
        <v>256</v>
      </c>
      <c r="L22" s="529">
        <v>95</v>
      </c>
      <c r="M22" s="82">
        <v>188</v>
      </c>
      <c r="N22" s="529">
        <v>13</v>
      </c>
      <c r="O22" s="529">
        <v>194</v>
      </c>
      <c r="P22" s="133">
        <f t="shared" si="12"/>
        <v>0.96907216494845361</v>
      </c>
      <c r="Q22" s="529">
        <v>49</v>
      </c>
      <c r="R22" s="529">
        <v>0</v>
      </c>
      <c r="S22" s="233">
        <v>2867795</v>
      </c>
      <c r="T22" s="24">
        <f t="shared" si="17"/>
        <v>3258204</v>
      </c>
      <c r="U22" s="233">
        <v>1242959</v>
      </c>
      <c r="V22" s="233">
        <v>2015245</v>
      </c>
      <c r="W22" s="135">
        <f t="shared" si="13"/>
        <v>0.61851406480379989</v>
      </c>
    </row>
    <row r="23" spans="1:23">
      <c r="A23" s="15">
        <v>2002</v>
      </c>
      <c r="B23" s="529">
        <v>12</v>
      </c>
      <c r="C23" s="529">
        <v>4</v>
      </c>
      <c r="D23" s="23">
        <f t="shared" si="14"/>
        <v>16</v>
      </c>
      <c r="E23" s="82">
        <f t="shared" si="15"/>
        <v>12</v>
      </c>
      <c r="F23" s="82">
        <f t="shared" si="16"/>
        <v>9</v>
      </c>
      <c r="G23" s="85"/>
      <c r="H23" s="85"/>
      <c r="I23" s="529">
        <v>58</v>
      </c>
      <c r="J23" s="529">
        <v>144</v>
      </c>
      <c r="K23" s="23">
        <f t="shared" si="18"/>
        <v>202</v>
      </c>
      <c r="L23" s="529">
        <f>ROUND(82.25, 0)</f>
        <v>82</v>
      </c>
      <c r="M23" s="82">
        <f>(I23+L23)</f>
        <v>140</v>
      </c>
      <c r="N23" s="529">
        <v>16</v>
      </c>
      <c r="O23" s="529">
        <f>ROUND(144.58, 0)</f>
        <v>145</v>
      </c>
      <c r="P23" s="133">
        <f t="shared" si="12"/>
        <v>0.96551724137931039</v>
      </c>
      <c r="Q23" s="529">
        <v>45</v>
      </c>
      <c r="R23" s="529">
        <v>2</v>
      </c>
      <c r="S23" s="233">
        <v>2626833</v>
      </c>
      <c r="T23" s="24">
        <f t="shared" si="17"/>
        <v>2765253</v>
      </c>
      <c r="U23" s="233">
        <v>1334096</v>
      </c>
      <c r="V23" s="233">
        <v>1431157</v>
      </c>
      <c r="W23" s="135">
        <f t="shared" si="13"/>
        <v>0.51755011205123003</v>
      </c>
    </row>
    <row r="24" spans="1:23" ht="58.15" customHeight="1">
      <c r="A24" s="538" t="s">
        <v>213</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3">
      <c r="A25" s="129"/>
      <c r="B25" s="234"/>
      <c r="C25" s="234"/>
      <c r="D25" s="234"/>
      <c r="E25" s="234"/>
      <c r="F25" s="234"/>
      <c r="G25" s="234"/>
      <c r="H25" s="234"/>
    </row>
    <row r="26" spans="1:23">
      <c r="A26" s="130"/>
      <c r="B26" s="234"/>
      <c r="C26" s="234"/>
      <c r="D26" s="234"/>
      <c r="E26" s="234"/>
      <c r="F26" s="234"/>
      <c r="G26" s="234"/>
      <c r="H26" s="234"/>
    </row>
    <row r="27" spans="1:23">
      <c r="A27" s="130"/>
      <c r="B27" s="234"/>
      <c r="C27" s="234"/>
      <c r="D27" s="234"/>
      <c r="E27" s="234"/>
      <c r="F27" s="234"/>
      <c r="G27" s="234"/>
      <c r="H27" s="234"/>
    </row>
    <row r="31" spans="1:23" s="12" customFormat="1">
      <c r="G31"/>
      <c r="H31"/>
    </row>
  </sheetData>
  <mergeCells count="1">
    <mergeCell ref="A24:W24"/>
  </mergeCells>
  <printOptions headings="1" gridLines="1"/>
  <pageMargins left="0.5" right="0.5" top="0.5" bottom="0.5" header="0" footer="0"/>
  <pageSetup paperSize="5" scale="67" orientation="landscape"/>
  <legacyDrawing r:id="rId1"/>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HL33"/>
  <sheetViews>
    <sheetView workbookViewId="0">
      <selection activeCell="G5" sqref="G5"/>
    </sheetView>
  </sheetViews>
  <sheetFormatPr defaultColWidth="8.85546875" defaultRowHeight="15"/>
  <cols>
    <col min="1" max="1" width="10.1406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2" width="10.85546875" bestFit="1" customWidth="1"/>
    <col min="23" max="23" width="12.85546875" bestFit="1" customWidth="1"/>
  </cols>
  <sheetData>
    <row r="1" spans="1:220" s="7" customFormat="1" ht="18.75">
      <c r="A1" s="1" t="s">
        <v>214</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c r="A3" s="10">
        <v>2022</v>
      </c>
      <c r="B3" s="530">
        <v>25</v>
      </c>
      <c r="C3" s="530">
        <v>5.5</v>
      </c>
      <c r="D3" s="23">
        <f t="shared" ref="D3" si="0">SUM(B3:C3)</f>
        <v>30.5</v>
      </c>
      <c r="E3" s="82">
        <f t="shared" ref="E3" si="1">ROUND((O3/B3), 0)</f>
        <v>26</v>
      </c>
      <c r="F3" s="82">
        <f t="shared" ref="F3" si="2">ROUND((O3/D3), 0)</f>
        <v>21</v>
      </c>
      <c r="G3" s="530">
        <v>24</v>
      </c>
      <c r="H3" s="530">
        <v>4.25</v>
      </c>
      <c r="I3" s="530">
        <v>311</v>
      </c>
      <c r="J3" s="530">
        <v>20</v>
      </c>
      <c r="K3" s="23">
        <f t="shared" ref="K3" si="3">SUM(I3:J3)</f>
        <v>331</v>
      </c>
      <c r="L3" s="530">
        <v>13.4</v>
      </c>
      <c r="M3" s="154">
        <f t="shared" ref="M3" si="4">(I3+L3)</f>
        <v>324.39999999999998</v>
      </c>
      <c r="N3" s="530">
        <v>66</v>
      </c>
      <c r="O3" s="530">
        <v>643.4</v>
      </c>
      <c r="P3" s="133">
        <f t="shared" ref="P3" si="5">M3/O3</f>
        <v>0.50419645632576937</v>
      </c>
      <c r="Q3" s="530">
        <v>59</v>
      </c>
      <c r="R3" s="530">
        <v>21</v>
      </c>
      <c r="S3" s="20">
        <v>10084579</v>
      </c>
      <c r="T3" s="24">
        <f t="shared" ref="T3" si="6">SUM(U3:V3)</f>
        <v>9467144</v>
      </c>
      <c r="U3" s="20">
        <v>9270133</v>
      </c>
      <c r="V3" s="360">
        <v>197011</v>
      </c>
      <c r="W3" s="135">
        <f t="shared" ref="W3" si="7">V3/T3</f>
        <v>2.0809971835222957E-2</v>
      </c>
    </row>
    <row r="4" spans="1:220">
      <c r="A4" s="10">
        <v>2021</v>
      </c>
      <c r="B4" s="530">
        <v>22</v>
      </c>
      <c r="C4" s="530">
        <v>7.67</v>
      </c>
      <c r="D4" s="23">
        <f t="shared" ref="D4" si="8">SUM(B4:C4)</f>
        <v>29.67</v>
      </c>
      <c r="E4" s="82">
        <f t="shared" ref="E4" si="9">ROUND((O4/B4), 0)</f>
        <v>19</v>
      </c>
      <c r="F4" s="82">
        <f t="shared" ref="F4" si="10">ROUND((O4/D4), 0)</f>
        <v>14</v>
      </c>
      <c r="G4" s="530">
        <v>19</v>
      </c>
      <c r="H4" s="530">
        <v>4.67</v>
      </c>
      <c r="I4" s="530">
        <v>224</v>
      </c>
      <c r="J4" s="530">
        <v>37</v>
      </c>
      <c r="K4" s="23">
        <f t="shared" ref="K4" si="11">SUM(I4:J4)</f>
        <v>261</v>
      </c>
      <c r="L4" s="530">
        <v>16.97</v>
      </c>
      <c r="M4" s="82">
        <f>(I4+L4)</f>
        <v>240.97</v>
      </c>
      <c r="N4" s="530">
        <v>66</v>
      </c>
      <c r="O4" s="530">
        <v>427.83</v>
      </c>
      <c r="P4" s="133">
        <f t="shared" ref="P4" si="12">M4/O4</f>
        <v>0.56323773461421589</v>
      </c>
      <c r="Q4" s="530">
        <v>94</v>
      </c>
      <c r="R4" s="530">
        <v>1</v>
      </c>
      <c r="S4" s="20">
        <v>9216742</v>
      </c>
      <c r="T4" s="24">
        <v>10020954</v>
      </c>
      <c r="U4" s="20">
        <v>9845712</v>
      </c>
      <c r="V4" s="360">
        <v>175242</v>
      </c>
      <c r="W4" s="135">
        <v>1.7500000000000002E-2</v>
      </c>
    </row>
    <row r="5" spans="1:220" s="463" customFormat="1">
      <c r="A5" s="10">
        <v>2020</v>
      </c>
      <c r="B5" s="463">
        <v>22</v>
      </c>
      <c r="C5" s="463">
        <v>5.73</v>
      </c>
      <c r="D5" s="23">
        <f>SUM(B5:C5)</f>
        <v>27.73</v>
      </c>
      <c r="E5" s="82">
        <f>ROUND((O5/B5), 0)</f>
        <v>9</v>
      </c>
      <c r="F5" s="82">
        <f>ROUND((O5/D5), 0)</f>
        <v>7</v>
      </c>
      <c r="G5" s="530">
        <v>21</v>
      </c>
      <c r="H5" s="535">
        <v>3.36</v>
      </c>
      <c r="I5" s="530">
        <v>139</v>
      </c>
      <c r="J5" s="535">
        <v>44</v>
      </c>
      <c r="K5" s="23">
        <f t="shared" ref="K5" si="13">SUM(I5:J5)</f>
        <v>183</v>
      </c>
      <c r="L5" s="463">
        <v>22.79</v>
      </c>
      <c r="M5" s="82">
        <f>(I5+L5)</f>
        <v>161.79</v>
      </c>
      <c r="N5" s="463">
        <v>53</v>
      </c>
      <c r="O5" s="463">
        <v>198.97</v>
      </c>
      <c r="P5" s="133">
        <f t="shared" ref="P5" si="14">M5/O5</f>
        <v>0.81313765894355927</v>
      </c>
      <c r="Q5" s="463">
        <v>111</v>
      </c>
      <c r="R5" s="463">
        <v>11</v>
      </c>
      <c r="S5" s="20">
        <v>9440934</v>
      </c>
      <c r="T5" s="24">
        <f>SUM(U5:V5)</f>
        <v>11069001</v>
      </c>
      <c r="U5" s="20">
        <v>11002948</v>
      </c>
      <c r="V5" s="464">
        <v>66053</v>
      </c>
      <c r="W5" s="135">
        <f t="shared" ref="W5" si="15">V5/T5</f>
        <v>5.9673858553269624E-3</v>
      </c>
    </row>
    <row r="6" spans="1:220">
      <c r="A6" s="460">
        <v>2019</v>
      </c>
      <c r="B6">
        <v>20</v>
      </c>
      <c r="C6">
        <v>9.85</v>
      </c>
      <c r="D6" s="180">
        <f>SUM(B6:C6)</f>
        <v>29.85</v>
      </c>
      <c r="E6" s="181">
        <f>ROUND((O6/B6), 0)</f>
        <v>20</v>
      </c>
      <c r="F6" s="181">
        <f>ROUND((O6/D6), 0)</f>
        <v>14</v>
      </c>
      <c r="G6">
        <v>20</v>
      </c>
      <c r="H6" s="458">
        <v>5.35</v>
      </c>
      <c r="I6" s="459">
        <v>181</v>
      </c>
      <c r="J6">
        <v>40</v>
      </c>
      <c r="K6" s="180">
        <f>SUM(I6:J6)</f>
        <v>221</v>
      </c>
      <c r="L6">
        <v>26.8</v>
      </c>
      <c r="M6" s="181">
        <f>(I6+L6)</f>
        <v>207.8</v>
      </c>
      <c r="N6">
        <v>42</v>
      </c>
      <c r="O6">
        <v>409.33</v>
      </c>
      <c r="P6" s="461">
        <f>M6/O6</f>
        <v>0.50765885715681724</v>
      </c>
      <c r="Q6">
        <v>123</v>
      </c>
      <c r="R6">
        <v>7</v>
      </c>
      <c r="S6" s="360">
        <v>7851814.1100000013</v>
      </c>
      <c r="T6" s="182">
        <f>SUM(U6:V6)</f>
        <v>7235777.2800000003</v>
      </c>
      <c r="U6" s="360">
        <v>5764603.2800000003</v>
      </c>
      <c r="V6" s="308">
        <v>1471174</v>
      </c>
      <c r="W6" s="462">
        <f>V6/T6</f>
        <v>0.2033194144969592</v>
      </c>
    </row>
    <row r="7" spans="1:220" s="14" customFormat="1">
      <c r="A7" s="10">
        <v>2018</v>
      </c>
      <c r="B7" s="17">
        <v>20</v>
      </c>
      <c r="C7" s="283">
        <v>8.32</v>
      </c>
      <c r="D7" s="23">
        <f>SUM(B7:C7)</f>
        <v>28.32</v>
      </c>
      <c r="E7" s="82">
        <f>ROUND((O7/B7), 0)</f>
        <v>24</v>
      </c>
      <c r="F7" s="82">
        <f>ROUND((O7/D7), 0)</f>
        <v>17</v>
      </c>
      <c r="G7" s="17">
        <v>20</v>
      </c>
      <c r="H7" s="17">
        <v>8.32</v>
      </c>
      <c r="I7" s="17">
        <v>210</v>
      </c>
      <c r="J7" s="17">
        <v>69</v>
      </c>
      <c r="K7" s="23">
        <f t="shared" ref="K7" si="16">SUM(I7:J7)</f>
        <v>279</v>
      </c>
      <c r="L7" s="17">
        <v>46.23</v>
      </c>
      <c r="M7" s="82">
        <f>(I7+L7)</f>
        <v>256.23</v>
      </c>
      <c r="N7" s="17">
        <v>55</v>
      </c>
      <c r="O7" s="17">
        <v>487.78</v>
      </c>
      <c r="P7" s="133">
        <f>M7/O7</f>
        <v>0.52529829021280094</v>
      </c>
      <c r="Q7" s="17">
        <v>110</v>
      </c>
      <c r="R7" s="17">
        <v>3</v>
      </c>
      <c r="S7" s="20">
        <v>6547350.7500000009</v>
      </c>
      <c r="T7" s="24">
        <f>SUM(U7:V7)</f>
        <v>7633635.9399999995</v>
      </c>
      <c r="U7" s="20">
        <v>5832154.0199999996</v>
      </c>
      <c r="V7" s="20">
        <v>1801481.9200000002</v>
      </c>
      <c r="W7" s="135">
        <f>V7/T7</f>
        <v>0.23599264284537</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20</v>
      </c>
      <c r="C8" s="17">
        <v>7.69</v>
      </c>
      <c r="D8" s="27">
        <f>SUM(B8:C8)</f>
        <v>27.69</v>
      </c>
      <c r="E8" s="27">
        <f>ROUND((O8/B8), 0)</f>
        <v>25</v>
      </c>
      <c r="F8" s="27">
        <f>ROUND((O8/D8), 0)</f>
        <v>18</v>
      </c>
      <c r="G8" s="17">
        <v>20</v>
      </c>
      <c r="H8" s="17">
        <v>7.69</v>
      </c>
      <c r="I8" s="17">
        <v>223</v>
      </c>
      <c r="J8" s="17">
        <v>31</v>
      </c>
      <c r="K8" s="27">
        <f>SUM(I8:J8)</f>
        <v>254</v>
      </c>
      <c r="L8" s="17">
        <v>21.51</v>
      </c>
      <c r="M8" s="29">
        <f>(I8+L8)</f>
        <v>244.51</v>
      </c>
      <c r="N8" s="255">
        <v>51</v>
      </c>
      <c r="O8" s="17">
        <v>494.04</v>
      </c>
      <c r="P8" s="133">
        <f t="shared" ref="P8:P23" si="17">M8/O8</f>
        <v>0.49491943972148</v>
      </c>
      <c r="Q8" s="17">
        <v>76</v>
      </c>
      <c r="R8" s="17">
        <v>6</v>
      </c>
      <c r="S8" s="223">
        <v>8918341.7599999998</v>
      </c>
      <c r="T8" s="28">
        <f>SUM(U8:V8)</f>
        <v>5522557.25</v>
      </c>
      <c r="U8" s="252">
        <v>4080849</v>
      </c>
      <c r="V8" s="20">
        <v>1441708.25</v>
      </c>
      <c r="W8" s="135">
        <f t="shared" ref="W8:W23" si="18">V8/T8</f>
        <v>0.26105809043446315</v>
      </c>
    </row>
    <row r="9" spans="1:220" s="9" customFormat="1">
      <c r="A9" s="10">
        <v>2016</v>
      </c>
      <c r="B9" s="54">
        <v>19</v>
      </c>
      <c r="C9" s="54">
        <v>6.96</v>
      </c>
      <c r="D9" s="65">
        <f>SUM(B9:C9)</f>
        <v>25.96</v>
      </c>
      <c r="E9" s="13">
        <f>ROUND((O9/B9), 0)</f>
        <v>24</v>
      </c>
      <c r="F9" s="13">
        <f>ROUND((O9/D9), 0)</f>
        <v>17</v>
      </c>
      <c r="G9" s="66">
        <v>19</v>
      </c>
      <c r="H9" s="66">
        <v>5.46</v>
      </c>
      <c r="I9" s="54">
        <v>175</v>
      </c>
      <c r="J9" s="54">
        <v>57</v>
      </c>
      <c r="K9" s="65">
        <f>I9+J9</f>
        <v>232</v>
      </c>
      <c r="L9" s="54">
        <v>38.19</v>
      </c>
      <c r="M9" s="13">
        <f>I9+L9</f>
        <v>213.19</v>
      </c>
      <c r="N9" s="54">
        <v>38</v>
      </c>
      <c r="O9" s="54">
        <v>452.55</v>
      </c>
      <c r="P9" s="133">
        <f t="shared" si="17"/>
        <v>0.47108606783780799</v>
      </c>
      <c r="Q9" s="54">
        <v>86</v>
      </c>
      <c r="R9" s="54">
        <v>5</v>
      </c>
      <c r="S9" s="61">
        <v>6497246.7999999998</v>
      </c>
      <c r="T9" s="235">
        <f>SUM(U9:V9)</f>
        <v>5702547.4100000001</v>
      </c>
      <c r="U9" s="61">
        <v>4003176.59</v>
      </c>
      <c r="V9" s="61">
        <v>1699370.82</v>
      </c>
      <c r="W9" s="135">
        <f t="shared" si="18"/>
        <v>0.29800205028019222</v>
      </c>
    </row>
    <row r="10" spans="1:220" s="16" customFormat="1">
      <c r="A10" s="57">
        <v>2015</v>
      </c>
      <c r="B10" s="70">
        <v>20</v>
      </c>
      <c r="C10" s="70">
        <v>3.22</v>
      </c>
      <c r="D10" s="65">
        <v>23.22</v>
      </c>
      <c r="E10" s="65">
        <v>18.399999999999999</v>
      </c>
      <c r="F10" s="65">
        <v>15.9</v>
      </c>
      <c r="G10" s="83"/>
      <c r="H10" s="83"/>
      <c r="I10" s="70">
        <v>151</v>
      </c>
      <c r="J10" s="70">
        <v>39</v>
      </c>
      <c r="K10" s="65">
        <v>190</v>
      </c>
      <c r="L10" s="70">
        <v>26</v>
      </c>
      <c r="M10" s="65">
        <v>177.13</v>
      </c>
      <c r="N10" s="70">
        <v>38</v>
      </c>
      <c r="O10" s="70">
        <v>368.52</v>
      </c>
      <c r="P10" s="133">
        <f t="shared" si="17"/>
        <v>0.48065233908607402</v>
      </c>
      <c r="Q10" s="70">
        <v>94</v>
      </c>
      <c r="R10" s="70">
        <v>2</v>
      </c>
      <c r="S10" s="78">
        <v>6607930</v>
      </c>
      <c r="T10" s="79">
        <v>6804603</v>
      </c>
      <c r="U10" s="78">
        <v>3886630</v>
      </c>
      <c r="V10" s="78">
        <v>2917973</v>
      </c>
      <c r="W10" s="135">
        <f t="shared" si="18"/>
        <v>0.42882340086556114</v>
      </c>
    </row>
    <row r="11" spans="1:220" s="16" customFormat="1">
      <c r="A11" s="15">
        <v>2014</v>
      </c>
      <c r="B11" s="70">
        <v>22</v>
      </c>
      <c r="C11" s="70">
        <v>3.28</v>
      </c>
      <c r="D11" s="65">
        <f t="shared" ref="D11:D23" si="19">SUM(B11:C11)</f>
        <v>25.28</v>
      </c>
      <c r="E11" s="13">
        <f t="shared" ref="E11:E23" si="20">ROUND((O11/B11), 0)</f>
        <v>19</v>
      </c>
      <c r="F11" s="13">
        <f t="shared" ref="F11:F23" si="21">ROUND((O11/D11), 0)</f>
        <v>16</v>
      </c>
      <c r="G11" s="83"/>
      <c r="H11" s="83"/>
      <c r="I11" s="70">
        <v>157</v>
      </c>
      <c r="J11" s="70">
        <v>48</v>
      </c>
      <c r="K11" s="65">
        <f>I11+J11</f>
        <v>205</v>
      </c>
      <c r="L11" s="70">
        <v>32.159999999999997</v>
      </c>
      <c r="M11" s="13">
        <f>I11+L11</f>
        <v>189.16</v>
      </c>
      <c r="N11" s="70">
        <v>41</v>
      </c>
      <c r="O11" s="70">
        <v>417</v>
      </c>
      <c r="P11" s="133">
        <f t="shared" si="17"/>
        <v>0.45362110311750597</v>
      </c>
      <c r="Q11" s="70">
        <v>101</v>
      </c>
      <c r="R11" s="70">
        <v>2</v>
      </c>
      <c r="S11" s="71">
        <v>6274970</v>
      </c>
      <c r="T11" s="68">
        <f t="shared" ref="T11:T23" si="22">SUM(U11:V11)</f>
        <v>6893190</v>
      </c>
      <c r="U11" s="71">
        <v>3818114</v>
      </c>
      <c r="V11" s="71">
        <v>3075076</v>
      </c>
      <c r="W11" s="135">
        <f t="shared" si="18"/>
        <v>0.4461034731379811</v>
      </c>
    </row>
    <row r="12" spans="1:220">
      <c r="A12" s="15">
        <v>2013</v>
      </c>
      <c r="B12" s="528">
        <v>19</v>
      </c>
      <c r="C12" s="528">
        <v>6.52</v>
      </c>
      <c r="D12" s="23">
        <f t="shared" si="19"/>
        <v>25.52</v>
      </c>
      <c r="E12" s="82">
        <f t="shared" si="20"/>
        <v>25</v>
      </c>
      <c r="F12" s="82">
        <f t="shared" si="21"/>
        <v>19</v>
      </c>
      <c r="G12" s="85"/>
      <c r="H12" s="85"/>
      <c r="I12" s="528">
        <v>181</v>
      </c>
      <c r="J12" s="528">
        <v>42</v>
      </c>
      <c r="K12" s="23">
        <f>I12+J12</f>
        <v>223</v>
      </c>
      <c r="L12" s="528">
        <v>28.14</v>
      </c>
      <c r="M12" s="82">
        <f>I12+L12</f>
        <v>209.14</v>
      </c>
      <c r="N12" s="528">
        <v>32</v>
      </c>
      <c r="O12" s="528">
        <v>477.48</v>
      </c>
      <c r="P12" s="133">
        <f t="shared" si="17"/>
        <v>0.43800787467537905</v>
      </c>
      <c r="Q12" s="528">
        <v>91</v>
      </c>
      <c r="R12" s="528">
        <v>4</v>
      </c>
      <c r="S12" s="84">
        <v>6554820</v>
      </c>
      <c r="T12" s="24">
        <f t="shared" si="22"/>
        <v>6400504</v>
      </c>
      <c r="U12" s="84">
        <v>3778475</v>
      </c>
      <c r="V12" s="84">
        <v>2622029</v>
      </c>
      <c r="W12" s="135">
        <f t="shared" si="18"/>
        <v>0.40965977054306973</v>
      </c>
    </row>
    <row r="13" spans="1:220">
      <c r="A13" s="15">
        <v>2012</v>
      </c>
      <c r="B13" s="528">
        <v>21</v>
      </c>
      <c r="C13" s="528">
        <v>7.85</v>
      </c>
      <c r="D13" s="23">
        <f t="shared" si="19"/>
        <v>28.85</v>
      </c>
      <c r="E13" s="82">
        <f t="shared" si="20"/>
        <v>11</v>
      </c>
      <c r="F13" s="82">
        <f t="shared" si="21"/>
        <v>8</v>
      </c>
      <c r="G13" s="85"/>
      <c r="H13" s="85"/>
      <c r="I13" s="528">
        <v>188</v>
      </c>
      <c r="J13" s="528">
        <v>34</v>
      </c>
      <c r="K13" s="23">
        <f>I13+J13</f>
        <v>222</v>
      </c>
      <c r="L13" s="528">
        <v>16.439999999999998</v>
      </c>
      <c r="M13" s="82">
        <f>I13+L13</f>
        <v>204.44</v>
      </c>
      <c r="N13" s="528">
        <v>22</v>
      </c>
      <c r="O13" s="528">
        <v>239.89000000000001</v>
      </c>
      <c r="P13" s="133">
        <f t="shared" si="17"/>
        <v>0.85222393597065316</v>
      </c>
      <c r="Q13" s="528">
        <v>124</v>
      </c>
      <c r="R13" s="528">
        <v>4</v>
      </c>
      <c r="S13" s="84">
        <v>5940110</v>
      </c>
      <c r="T13" s="24">
        <f t="shared" si="22"/>
        <v>5315905</v>
      </c>
      <c r="U13" s="84">
        <v>3940010</v>
      </c>
      <c r="V13" s="84">
        <v>1375895</v>
      </c>
      <c r="W13" s="135">
        <f t="shared" si="18"/>
        <v>0.25882610769003583</v>
      </c>
    </row>
    <row r="14" spans="1:220">
      <c r="A14" s="15">
        <v>2011</v>
      </c>
      <c r="B14" s="528">
        <v>21</v>
      </c>
      <c r="C14" s="528">
        <v>5.46</v>
      </c>
      <c r="D14" s="23">
        <f t="shared" si="19"/>
        <v>26.46</v>
      </c>
      <c r="E14" s="82">
        <f t="shared" si="20"/>
        <v>21</v>
      </c>
      <c r="F14" s="82">
        <f t="shared" si="21"/>
        <v>17</v>
      </c>
      <c r="G14" s="85"/>
      <c r="H14" s="85"/>
      <c r="I14" s="528">
        <v>202</v>
      </c>
      <c r="J14" s="528">
        <v>43</v>
      </c>
      <c r="K14" s="23">
        <f t="shared" ref="K14:K23" si="23">SUM(I14:J14)</f>
        <v>245</v>
      </c>
      <c r="L14" s="528">
        <v>20.399999999999999</v>
      </c>
      <c r="M14" s="82">
        <f t="shared" ref="M14:M23" si="24">(I14+L14)</f>
        <v>222.4</v>
      </c>
      <c r="N14" s="528">
        <v>37</v>
      </c>
      <c r="O14" s="528">
        <v>437.45000000000005</v>
      </c>
      <c r="P14" s="133">
        <f t="shared" si="17"/>
        <v>0.5084009601097268</v>
      </c>
      <c r="Q14" s="528">
        <v>94</v>
      </c>
      <c r="R14" s="528">
        <v>1</v>
      </c>
      <c r="S14" s="84">
        <v>5656090</v>
      </c>
      <c r="T14" s="24">
        <f t="shared" si="22"/>
        <v>5480692</v>
      </c>
      <c r="U14" s="84">
        <v>4018964</v>
      </c>
      <c r="V14" s="84">
        <v>1461728</v>
      </c>
      <c r="W14" s="135">
        <f t="shared" si="18"/>
        <v>0.26670500732389268</v>
      </c>
    </row>
    <row r="15" spans="1:220">
      <c r="A15" s="15">
        <v>2010</v>
      </c>
      <c r="B15" s="528">
        <v>20</v>
      </c>
      <c r="C15" s="528">
        <v>4.8</v>
      </c>
      <c r="D15" s="23">
        <f t="shared" si="19"/>
        <v>24.8</v>
      </c>
      <c r="E15" s="82">
        <f t="shared" si="20"/>
        <v>27</v>
      </c>
      <c r="F15" s="82">
        <f t="shared" si="21"/>
        <v>22</v>
      </c>
      <c r="G15" s="85"/>
      <c r="H15" s="85"/>
      <c r="I15" s="528">
        <v>205</v>
      </c>
      <c r="J15" s="528">
        <v>67</v>
      </c>
      <c r="K15" s="23">
        <f t="shared" si="23"/>
        <v>272</v>
      </c>
      <c r="L15" s="528">
        <v>44.89</v>
      </c>
      <c r="M15" s="82">
        <f t="shared" si="24"/>
        <v>249.89</v>
      </c>
      <c r="N15" s="528">
        <v>33</v>
      </c>
      <c r="O15" s="528">
        <v>543.8900000000001</v>
      </c>
      <c r="P15" s="133">
        <f t="shared" si="17"/>
        <v>0.4594495210428578</v>
      </c>
      <c r="Q15" s="528">
        <v>112</v>
      </c>
      <c r="R15" s="528">
        <v>2</v>
      </c>
      <c r="S15" s="84">
        <v>5766855.3100000005</v>
      </c>
      <c r="T15" s="24">
        <f t="shared" si="22"/>
        <v>5281757.49</v>
      </c>
      <c r="U15" s="84">
        <v>4045102.49</v>
      </c>
      <c r="V15" s="84">
        <v>1236655</v>
      </c>
      <c r="W15" s="135">
        <f t="shared" si="18"/>
        <v>0.23413702774907219</v>
      </c>
    </row>
    <row r="16" spans="1:220">
      <c r="A16" s="15">
        <v>2009</v>
      </c>
      <c r="B16" s="528">
        <v>21</v>
      </c>
      <c r="C16" s="528">
        <v>3.23</v>
      </c>
      <c r="D16" s="23">
        <f t="shared" si="19"/>
        <v>24.23</v>
      </c>
      <c r="E16" s="82">
        <f t="shared" si="20"/>
        <v>27</v>
      </c>
      <c r="F16" s="82">
        <f t="shared" si="21"/>
        <v>23</v>
      </c>
      <c r="G16" s="85"/>
      <c r="H16" s="85"/>
      <c r="I16" s="528">
        <v>177</v>
      </c>
      <c r="J16" s="528">
        <v>74</v>
      </c>
      <c r="K16" s="23">
        <f t="shared" si="23"/>
        <v>251</v>
      </c>
      <c r="L16" s="528">
        <v>49.58</v>
      </c>
      <c r="M16" s="82">
        <f t="shared" si="24"/>
        <v>226.57999999999998</v>
      </c>
      <c r="N16" s="528">
        <v>40</v>
      </c>
      <c r="O16" s="528">
        <v>559.54</v>
      </c>
      <c r="P16" s="133">
        <f t="shared" si="17"/>
        <v>0.40493977195553488</v>
      </c>
      <c r="Q16" s="528">
        <v>104</v>
      </c>
      <c r="R16" s="528">
        <v>6</v>
      </c>
      <c r="S16" s="84">
        <v>5082873.2</v>
      </c>
      <c r="T16" s="24">
        <f t="shared" si="22"/>
        <v>5007712.83</v>
      </c>
      <c r="U16" s="84">
        <v>3993462.83</v>
      </c>
      <c r="V16" s="84">
        <v>1014250</v>
      </c>
      <c r="W16" s="135">
        <f t="shared" si="18"/>
        <v>0.20253757242705148</v>
      </c>
    </row>
    <row r="17" spans="1:23">
      <c r="A17" s="15">
        <v>2008</v>
      </c>
      <c r="B17" s="528">
        <v>18</v>
      </c>
      <c r="C17" s="528">
        <v>3.59</v>
      </c>
      <c r="D17" s="23">
        <f t="shared" si="19"/>
        <v>21.59</v>
      </c>
      <c r="E17" s="82">
        <f t="shared" si="20"/>
        <v>29</v>
      </c>
      <c r="F17" s="82">
        <f t="shared" si="21"/>
        <v>24</v>
      </c>
      <c r="G17" s="85"/>
      <c r="H17" s="85"/>
      <c r="I17" s="528">
        <v>185</v>
      </c>
      <c r="J17" s="528">
        <v>63</v>
      </c>
      <c r="K17" s="23">
        <f t="shared" si="23"/>
        <v>248</v>
      </c>
      <c r="L17" s="528">
        <v>42.21</v>
      </c>
      <c r="M17" s="82">
        <f t="shared" si="24"/>
        <v>227.21</v>
      </c>
      <c r="N17" s="528">
        <v>41</v>
      </c>
      <c r="O17" s="528">
        <v>525</v>
      </c>
      <c r="P17" s="133">
        <f t="shared" si="17"/>
        <v>0.43278095238095238</v>
      </c>
      <c r="Q17" s="528">
        <v>80</v>
      </c>
      <c r="R17" s="528">
        <v>4</v>
      </c>
      <c r="S17" s="84">
        <v>4366123.1100000003</v>
      </c>
      <c r="T17" s="24">
        <f t="shared" si="22"/>
        <v>5377156.5099999998</v>
      </c>
      <c r="U17" s="84">
        <v>3317606.51</v>
      </c>
      <c r="V17" s="84">
        <v>2059550</v>
      </c>
      <c r="W17" s="135">
        <f t="shared" si="18"/>
        <v>0.38301842175689249</v>
      </c>
    </row>
    <row r="18" spans="1:23">
      <c r="A18" s="15">
        <v>2007</v>
      </c>
      <c r="B18" s="528">
        <v>19</v>
      </c>
      <c r="C18" s="528">
        <v>6.52</v>
      </c>
      <c r="D18" s="23">
        <f t="shared" si="19"/>
        <v>25.52</v>
      </c>
      <c r="E18" s="82">
        <f t="shared" si="20"/>
        <v>13</v>
      </c>
      <c r="F18" s="82">
        <f t="shared" si="21"/>
        <v>10</v>
      </c>
      <c r="G18" s="85"/>
      <c r="H18" s="85"/>
      <c r="I18" s="528">
        <v>181</v>
      </c>
      <c r="J18" s="528">
        <v>66</v>
      </c>
      <c r="K18" s="23">
        <f t="shared" si="23"/>
        <v>247</v>
      </c>
      <c r="L18" s="528">
        <v>44.22</v>
      </c>
      <c r="M18" s="82">
        <f t="shared" si="24"/>
        <v>225.22</v>
      </c>
      <c r="N18" s="528">
        <v>40</v>
      </c>
      <c r="O18" s="528">
        <v>254</v>
      </c>
      <c r="P18" s="133">
        <f t="shared" si="17"/>
        <v>0.88669291338582679</v>
      </c>
      <c r="Q18" s="528">
        <v>110</v>
      </c>
      <c r="R18" s="528">
        <v>1</v>
      </c>
      <c r="S18" s="179">
        <v>4287162</v>
      </c>
      <c r="T18" s="24">
        <f t="shared" si="22"/>
        <v>4868244</v>
      </c>
      <c r="U18" s="132">
        <v>3224143</v>
      </c>
      <c r="V18" s="179">
        <v>1644101</v>
      </c>
      <c r="W18" s="135">
        <f t="shared" si="18"/>
        <v>0.33771951446969378</v>
      </c>
    </row>
    <row r="19" spans="1:23">
      <c r="A19" s="15">
        <v>2006</v>
      </c>
      <c r="B19" s="528">
        <v>18</v>
      </c>
      <c r="C19" s="528">
        <v>7</v>
      </c>
      <c r="D19" s="23">
        <f t="shared" si="19"/>
        <v>25</v>
      </c>
      <c r="E19" s="82">
        <f t="shared" si="20"/>
        <v>14</v>
      </c>
      <c r="F19" s="82">
        <f t="shared" si="21"/>
        <v>10</v>
      </c>
      <c r="G19" s="85"/>
      <c r="H19" s="85"/>
      <c r="I19" s="528">
        <v>175</v>
      </c>
      <c r="J19" s="528">
        <v>67</v>
      </c>
      <c r="K19" s="23">
        <f t="shared" si="23"/>
        <v>242</v>
      </c>
      <c r="L19" s="528">
        <v>44</v>
      </c>
      <c r="M19" s="82">
        <f t="shared" si="24"/>
        <v>219</v>
      </c>
      <c r="N19" s="528">
        <v>31</v>
      </c>
      <c r="O19" s="528">
        <v>251</v>
      </c>
      <c r="P19" s="133">
        <f t="shared" si="17"/>
        <v>0.87250996015936255</v>
      </c>
      <c r="Q19" s="528">
        <v>107</v>
      </c>
      <c r="R19" s="528">
        <v>3</v>
      </c>
      <c r="S19" s="132">
        <v>4390888</v>
      </c>
      <c r="T19" s="24">
        <f t="shared" si="22"/>
        <v>4473974</v>
      </c>
      <c r="U19" s="132">
        <v>3225900</v>
      </c>
      <c r="V19" s="132">
        <v>1248074</v>
      </c>
      <c r="W19" s="135">
        <f t="shared" si="18"/>
        <v>0.27896317680880578</v>
      </c>
    </row>
    <row r="20" spans="1:23">
      <c r="A20" s="15">
        <v>2005</v>
      </c>
      <c r="B20" s="528">
        <v>17</v>
      </c>
      <c r="C20" s="528">
        <v>4.5</v>
      </c>
      <c r="D20" s="23">
        <f t="shared" si="19"/>
        <v>21.5</v>
      </c>
      <c r="E20" s="82">
        <f t="shared" si="20"/>
        <v>14</v>
      </c>
      <c r="F20" s="82">
        <f t="shared" si="21"/>
        <v>11</v>
      </c>
      <c r="G20" s="85"/>
      <c r="H20" s="85"/>
      <c r="I20" s="528">
        <v>165</v>
      </c>
      <c r="J20" s="528">
        <v>77</v>
      </c>
      <c r="K20" s="23">
        <f t="shared" si="23"/>
        <v>242</v>
      </c>
      <c r="L20" s="528">
        <v>52</v>
      </c>
      <c r="M20" s="82">
        <f t="shared" si="24"/>
        <v>217</v>
      </c>
      <c r="N20" s="528">
        <v>35</v>
      </c>
      <c r="O20" s="528">
        <v>246</v>
      </c>
      <c r="P20" s="133">
        <f t="shared" si="17"/>
        <v>0.88211382113821135</v>
      </c>
      <c r="Q20" s="528">
        <v>112</v>
      </c>
      <c r="R20" s="528">
        <v>2</v>
      </c>
      <c r="S20" s="132">
        <v>3940328</v>
      </c>
      <c r="T20" s="24">
        <f t="shared" si="22"/>
        <v>3728908</v>
      </c>
      <c r="U20" s="132">
        <v>2692979</v>
      </c>
      <c r="V20" s="132">
        <v>1035929</v>
      </c>
      <c r="W20" s="135">
        <f t="shared" si="18"/>
        <v>0.27781028655037882</v>
      </c>
    </row>
    <row r="21" spans="1:23">
      <c r="A21" s="15">
        <v>2004</v>
      </c>
      <c r="B21" s="528">
        <v>20</v>
      </c>
      <c r="C21" s="528">
        <v>4</v>
      </c>
      <c r="D21" s="23">
        <f t="shared" si="19"/>
        <v>24</v>
      </c>
      <c r="E21" s="82">
        <f t="shared" si="20"/>
        <v>27</v>
      </c>
      <c r="F21" s="82">
        <f t="shared" si="21"/>
        <v>22</v>
      </c>
      <c r="G21" s="85"/>
      <c r="H21" s="85"/>
      <c r="I21" s="528">
        <v>190</v>
      </c>
      <c r="J21" s="528">
        <v>84</v>
      </c>
      <c r="K21" s="23">
        <f t="shared" si="23"/>
        <v>274</v>
      </c>
      <c r="L21" s="528">
        <v>56</v>
      </c>
      <c r="M21" s="82">
        <f t="shared" si="24"/>
        <v>246</v>
      </c>
      <c r="N21" s="528">
        <v>35</v>
      </c>
      <c r="O21" s="528">
        <v>535</v>
      </c>
      <c r="P21" s="133">
        <f t="shared" si="17"/>
        <v>0.45981308411214955</v>
      </c>
      <c r="Q21" s="528">
        <v>104</v>
      </c>
      <c r="R21" s="528">
        <v>4</v>
      </c>
      <c r="S21" s="132">
        <v>3789081</v>
      </c>
      <c r="T21" s="24">
        <f t="shared" si="22"/>
        <v>5083681</v>
      </c>
      <c r="U21" s="132">
        <v>2469395</v>
      </c>
      <c r="V21" s="132">
        <v>2614286</v>
      </c>
      <c r="W21" s="135">
        <f t="shared" si="18"/>
        <v>0.51425059912295834</v>
      </c>
    </row>
    <row r="22" spans="1:23">
      <c r="A22" s="15">
        <v>2003</v>
      </c>
      <c r="B22" s="528">
        <v>19</v>
      </c>
      <c r="C22" s="528">
        <v>4</v>
      </c>
      <c r="D22" s="23">
        <f t="shared" si="19"/>
        <v>23</v>
      </c>
      <c r="E22" s="82">
        <f t="shared" si="20"/>
        <v>28</v>
      </c>
      <c r="F22" s="82">
        <f t="shared" si="21"/>
        <v>23</v>
      </c>
      <c r="G22" s="85"/>
      <c r="H22" s="85"/>
      <c r="I22" s="528">
        <v>179</v>
      </c>
      <c r="J22" s="528">
        <v>87</v>
      </c>
      <c r="K22" s="23">
        <f t="shared" si="23"/>
        <v>266</v>
      </c>
      <c r="L22" s="528">
        <v>58</v>
      </c>
      <c r="M22" s="82">
        <f t="shared" si="24"/>
        <v>237</v>
      </c>
      <c r="N22" s="528">
        <v>36</v>
      </c>
      <c r="O22" s="528">
        <v>534</v>
      </c>
      <c r="P22" s="133">
        <f t="shared" si="17"/>
        <v>0.4438202247191011</v>
      </c>
      <c r="Q22" s="528">
        <v>100</v>
      </c>
      <c r="R22" s="528">
        <v>2</v>
      </c>
      <c r="S22" s="132">
        <v>3469634</v>
      </c>
      <c r="T22" s="24">
        <f t="shared" si="22"/>
        <v>3930044</v>
      </c>
      <c r="U22" s="132">
        <v>2494160</v>
      </c>
      <c r="V22" s="132">
        <v>1435884</v>
      </c>
      <c r="W22" s="135">
        <f t="shared" si="18"/>
        <v>0.36536079494275381</v>
      </c>
    </row>
    <row r="23" spans="1:23">
      <c r="A23" s="15">
        <v>2002</v>
      </c>
      <c r="B23" s="528">
        <v>20</v>
      </c>
      <c r="C23" s="528">
        <v>3</v>
      </c>
      <c r="D23" s="23">
        <f t="shared" si="19"/>
        <v>23</v>
      </c>
      <c r="E23" s="82">
        <f t="shared" si="20"/>
        <v>24</v>
      </c>
      <c r="F23" s="82">
        <f t="shared" si="21"/>
        <v>21</v>
      </c>
      <c r="G23" s="85"/>
      <c r="H23" s="85"/>
      <c r="I23" s="528">
        <v>149</v>
      </c>
      <c r="J23" s="528">
        <v>105</v>
      </c>
      <c r="K23" s="23">
        <f t="shared" si="23"/>
        <v>254</v>
      </c>
      <c r="L23" s="528">
        <f>ROUND(70.35, 0)</f>
        <v>70</v>
      </c>
      <c r="M23" s="82">
        <f t="shared" si="24"/>
        <v>219</v>
      </c>
      <c r="N23" s="528">
        <v>33</v>
      </c>
      <c r="O23" s="528">
        <f>ROUND(483, 0)</f>
        <v>483</v>
      </c>
      <c r="P23" s="133">
        <f t="shared" si="17"/>
        <v>0.453416149068323</v>
      </c>
      <c r="Q23" s="528">
        <v>137</v>
      </c>
      <c r="R23" s="528">
        <v>3</v>
      </c>
      <c r="S23" s="132">
        <v>3091266</v>
      </c>
      <c r="T23" s="24">
        <f t="shared" si="22"/>
        <v>3304094</v>
      </c>
      <c r="U23" s="132">
        <v>2454649</v>
      </c>
      <c r="V23" s="132">
        <v>849445</v>
      </c>
      <c r="W23" s="135">
        <f t="shared" si="18"/>
        <v>0.25708863004502897</v>
      </c>
    </row>
    <row r="24" spans="1:23" s="12" customFormat="1">
      <c r="G24"/>
      <c r="H24"/>
    </row>
    <row r="25" spans="1:23" s="12" customFormat="1">
      <c r="A25" s="12" t="s">
        <v>215</v>
      </c>
      <c r="G25"/>
      <c r="H25"/>
    </row>
    <row r="26" spans="1:23" s="12" customFormat="1">
      <c r="G26"/>
      <c r="H26"/>
    </row>
    <row r="27" spans="1:23" s="12" customFormat="1">
      <c r="G27"/>
      <c r="H27"/>
    </row>
    <row r="28" spans="1:23" s="12" customFormat="1">
      <c r="G28"/>
      <c r="H28"/>
    </row>
    <row r="29" spans="1:23" s="12" customFormat="1">
      <c r="G29"/>
      <c r="H29"/>
    </row>
    <row r="30" spans="1:23" s="12" customFormat="1">
      <c r="G30"/>
      <c r="H30"/>
    </row>
    <row r="31" spans="1:23" s="12" customFormat="1">
      <c r="G31"/>
      <c r="H31"/>
    </row>
    <row r="32" spans="1:23" s="12" customFormat="1">
      <c r="G32"/>
      <c r="H32"/>
    </row>
    <row r="33" spans="7:8" s="12" customFormat="1">
      <c r="G33"/>
      <c r="H33"/>
    </row>
  </sheetData>
  <printOptions headings="1" gridLines="1"/>
  <pageMargins left="0.5" right="0.5" top="0.5" bottom="0.5" header="0" footer="0"/>
  <pageSetup paperSize="5" scale="65" orientation="landscape"/>
  <legacyDrawing r:id="rId1"/>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HL34"/>
  <sheetViews>
    <sheetView workbookViewId="0">
      <selection activeCell="G6" sqref="G6"/>
    </sheetView>
  </sheetViews>
  <sheetFormatPr defaultColWidth="8.85546875" defaultRowHeight="15"/>
  <cols>
    <col min="1" max="1" width="10.7109375" customWidth="1"/>
    <col min="2" max="2" width="10.28515625" bestFit="1" customWidth="1"/>
    <col min="3" max="3" width="8.5703125" bestFit="1" customWidth="1"/>
    <col min="4" max="4" width="9.42578125" bestFit="1" customWidth="1"/>
    <col min="5" max="5" width="12.42578125" bestFit="1" customWidth="1"/>
    <col min="6" max="6" width="11.5703125" bestFit="1" customWidth="1"/>
    <col min="7" max="8" width="12.140625" customWidth="1"/>
    <col min="9" max="9" width="9" bestFit="1" customWidth="1"/>
    <col min="10" max="11" width="12" bestFit="1" customWidth="1"/>
    <col min="12" max="12" width="12.42578125" bestFit="1" customWidth="1"/>
    <col min="13" max="13" width="12.42578125" customWidth="1"/>
    <col min="14" max="14" width="13.28515625" bestFit="1" customWidth="1"/>
    <col min="15" max="15" width="13.5703125" bestFit="1" customWidth="1"/>
    <col min="16" max="16" width="14.28515625" customWidth="1"/>
    <col min="17" max="17" width="11.28515625" customWidth="1"/>
    <col min="18" max="18" width="9.140625" bestFit="1" customWidth="1"/>
    <col min="19" max="19" width="12" bestFit="1" customWidth="1"/>
    <col min="20" max="20" width="11.42578125" customWidth="1"/>
    <col min="21" max="21" width="11.7109375" bestFit="1" customWidth="1"/>
    <col min="22" max="22" width="11.28515625" bestFit="1" customWidth="1"/>
    <col min="23" max="23" width="13" bestFit="1" customWidth="1"/>
  </cols>
  <sheetData>
    <row r="1" spans="1:220" s="7" customFormat="1" ht="18.75">
      <c r="A1" s="1" t="s">
        <v>216</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6" customFormat="1">
      <c r="A3" s="105">
        <v>2022</v>
      </c>
      <c r="B3" s="66">
        <v>13</v>
      </c>
      <c r="C3" s="66">
        <v>5.25</v>
      </c>
      <c r="D3" s="106">
        <f t="shared" ref="D3" si="0">SUM(B3:C3)</f>
        <v>18.25</v>
      </c>
      <c r="E3" s="106">
        <f t="shared" ref="E3" si="1">ROUND((O3/B3), 0)</f>
        <v>28</v>
      </c>
      <c r="F3" s="106">
        <f t="shared" ref="F3" si="2">ROUND((O3/D3), 0)</f>
        <v>20</v>
      </c>
      <c r="G3" s="66">
        <v>13</v>
      </c>
      <c r="H3" s="66">
        <v>5</v>
      </c>
      <c r="I3" s="66">
        <v>97</v>
      </c>
      <c r="J3" s="66">
        <v>459</v>
      </c>
      <c r="K3" s="106">
        <f t="shared" ref="K3" si="3">SUM(I3:J3)</f>
        <v>556</v>
      </c>
      <c r="L3" s="66">
        <v>255.9</v>
      </c>
      <c r="M3" s="106">
        <f t="shared" ref="M3" si="4">(I3+L3)</f>
        <v>352.9</v>
      </c>
      <c r="N3" s="66">
        <v>225</v>
      </c>
      <c r="O3" s="66">
        <v>364.1</v>
      </c>
      <c r="P3" s="337">
        <f t="shared" ref="P3" si="5">M3/O3</f>
        <v>0.96923921999450691</v>
      </c>
      <c r="Q3" s="66">
        <v>218</v>
      </c>
      <c r="R3" s="66">
        <v>11</v>
      </c>
      <c r="S3" s="304">
        <v>1807677</v>
      </c>
      <c r="T3" s="297">
        <f t="shared" ref="T3" si="6">SUM(U3:V3)</f>
        <v>1914028</v>
      </c>
      <c r="U3" s="304">
        <v>1914028</v>
      </c>
      <c r="V3" s="304">
        <v>0</v>
      </c>
      <c r="W3" s="337">
        <f t="shared" ref="W3" si="7">V3/T3</f>
        <v>0</v>
      </c>
    </row>
    <row r="4" spans="1:220" s="6" customFormat="1">
      <c r="A4" s="105">
        <v>2021</v>
      </c>
      <c r="B4" s="66">
        <v>14</v>
      </c>
      <c r="C4" s="66">
        <v>4.75</v>
      </c>
      <c r="D4" s="106">
        <f t="shared" ref="D4" si="8">SUM(B4:C4)</f>
        <v>18.75</v>
      </c>
      <c r="E4" s="106">
        <f t="shared" ref="E4" si="9">ROUND((O4/B4), 0)</f>
        <v>28</v>
      </c>
      <c r="F4" s="106">
        <f t="shared" ref="F4" si="10">ROUND((O4/D4), 0)</f>
        <v>21</v>
      </c>
      <c r="G4" s="66">
        <v>14</v>
      </c>
      <c r="H4" s="66">
        <v>4.5</v>
      </c>
      <c r="I4" s="66">
        <v>125</v>
      </c>
      <c r="J4" s="66">
        <v>471</v>
      </c>
      <c r="K4" s="106">
        <f t="shared" ref="K4" si="11">SUM(I4:J4)</f>
        <v>596</v>
      </c>
      <c r="L4" s="66">
        <v>260.67</v>
      </c>
      <c r="M4" s="106">
        <f>(I4+L4)</f>
        <v>385.67</v>
      </c>
      <c r="N4" s="66">
        <v>237</v>
      </c>
      <c r="O4" s="66">
        <v>394.97</v>
      </c>
      <c r="P4" s="337">
        <f t="shared" ref="P4" si="12">M4/O4</f>
        <v>0.97645390789173858</v>
      </c>
      <c r="Q4" s="66">
        <v>247</v>
      </c>
      <c r="R4" s="66">
        <v>16</v>
      </c>
      <c r="S4" s="304">
        <v>1915463</v>
      </c>
      <c r="T4" s="297">
        <f t="shared" ref="T4" si="13">SUM(U4:V4)</f>
        <v>2009452</v>
      </c>
      <c r="U4" s="304">
        <v>2009452</v>
      </c>
      <c r="V4" s="304">
        <v>0</v>
      </c>
      <c r="W4" s="337">
        <f t="shared" ref="W4" si="14">V4/T4</f>
        <v>0</v>
      </c>
    </row>
    <row r="5" spans="1:220" s="6" customFormat="1">
      <c r="A5" s="105">
        <v>2020</v>
      </c>
      <c r="B5" s="66">
        <v>14</v>
      </c>
      <c r="C5" s="66">
        <v>5.25</v>
      </c>
      <c r="D5" s="106">
        <f>SUM(B5:C5)</f>
        <v>19.25</v>
      </c>
      <c r="E5" s="106">
        <f>ROUND((O5/B5), 0)</f>
        <v>30</v>
      </c>
      <c r="F5" s="106">
        <f>ROUND((O5/D5), 0)</f>
        <v>22</v>
      </c>
      <c r="G5" s="66">
        <v>14</v>
      </c>
      <c r="H5" s="66">
        <v>4.25</v>
      </c>
      <c r="I5" s="66">
        <v>139</v>
      </c>
      <c r="J5" s="66">
        <v>476</v>
      </c>
      <c r="K5" s="106">
        <f t="shared" ref="K5" si="15">SUM(I5:J5)</f>
        <v>615</v>
      </c>
      <c r="L5" s="66">
        <v>265.89</v>
      </c>
      <c r="M5" s="106">
        <f>(I5+L5)</f>
        <v>404.89</v>
      </c>
      <c r="N5" s="66">
        <v>214</v>
      </c>
      <c r="O5" s="66">
        <v>417.89</v>
      </c>
      <c r="P5" s="337">
        <f t="shared" ref="P5" si="16">M5/O5</f>
        <v>0.96889133504032166</v>
      </c>
      <c r="Q5" s="66">
        <v>171</v>
      </c>
      <c r="R5" s="66">
        <v>14</v>
      </c>
      <c r="S5" s="304">
        <v>2146089.4500000002</v>
      </c>
      <c r="T5" s="297">
        <f>SUM(U5:V5)</f>
        <v>2013939.0999999999</v>
      </c>
      <c r="U5" s="304">
        <v>2013939.0999999999</v>
      </c>
      <c r="V5" s="304">
        <v>0</v>
      </c>
      <c r="W5" s="337">
        <f t="shared" ref="W5" si="17">V5/T5</f>
        <v>0</v>
      </c>
    </row>
    <row r="6" spans="1:220" s="6" customFormat="1">
      <c r="A6" s="105">
        <v>2019</v>
      </c>
      <c r="B6" s="66">
        <v>13</v>
      </c>
      <c r="C6" s="66">
        <v>7</v>
      </c>
      <c r="D6" s="106">
        <f>SUM(B6:C6)</f>
        <v>20</v>
      </c>
      <c r="E6" s="106">
        <f>ROUND((O6/B6), 0)</f>
        <v>31</v>
      </c>
      <c r="F6" s="106">
        <f>ROUND((O6/D6), 0)</f>
        <v>20</v>
      </c>
      <c r="G6" s="66">
        <v>13</v>
      </c>
      <c r="H6" s="66">
        <v>6.75</v>
      </c>
      <c r="I6" s="66">
        <v>129</v>
      </c>
      <c r="J6" s="66">
        <v>453</v>
      </c>
      <c r="K6" s="106">
        <f t="shared" ref="K6" si="18">SUM(I6:J6)</f>
        <v>582</v>
      </c>
      <c r="L6" s="66">
        <v>255.22</v>
      </c>
      <c r="M6" s="106">
        <f>(I6+L6)</f>
        <v>384.22</v>
      </c>
      <c r="N6" s="66">
        <v>207</v>
      </c>
      <c r="O6" s="66">
        <v>400</v>
      </c>
      <c r="P6" s="337">
        <f t="shared" ref="P6" si="19">M6/O6</f>
        <v>0.96055000000000001</v>
      </c>
      <c r="Q6" s="66">
        <v>212</v>
      </c>
      <c r="R6" s="66">
        <v>49</v>
      </c>
      <c r="S6" s="304">
        <v>1940954</v>
      </c>
      <c r="T6" s="297">
        <f>SUM(U6:V6)</f>
        <v>1869425.27</v>
      </c>
      <c r="U6" s="304">
        <v>1798174.25</v>
      </c>
      <c r="V6" s="304">
        <v>71251.02</v>
      </c>
      <c r="W6" s="337">
        <f t="shared" ref="W6" si="20">V6/T6</f>
        <v>3.8113863733103388E-2</v>
      </c>
    </row>
    <row r="7" spans="1:220" s="14" customFormat="1">
      <c r="A7" s="10">
        <v>2018</v>
      </c>
      <c r="B7" s="17">
        <v>12</v>
      </c>
      <c r="C7" s="17">
        <v>5.75</v>
      </c>
      <c r="D7" s="23">
        <f>SUM(B7:C7)</f>
        <v>17.75</v>
      </c>
      <c r="E7" s="82">
        <f>ROUND((O7/B7), 0)</f>
        <v>29</v>
      </c>
      <c r="F7" s="82">
        <f>ROUND((O7/D7), 0)</f>
        <v>20</v>
      </c>
      <c r="G7" s="17">
        <v>12</v>
      </c>
      <c r="H7" s="17">
        <v>5</v>
      </c>
      <c r="I7" s="17">
        <v>103</v>
      </c>
      <c r="J7" s="17">
        <v>416</v>
      </c>
      <c r="K7" s="23">
        <f t="shared" ref="K7" si="21">SUM(I7:J7)</f>
        <v>519</v>
      </c>
      <c r="L7" s="17">
        <v>231.22</v>
      </c>
      <c r="M7" s="82">
        <f>(I7+L7)</f>
        <v>334.22</v>
      </c>
      <c r="N7" s="17">
        <v>173</v>
      </c>
      <c r="O7" s="17">
        <v>347.99</v>
      </c>
      <c r="P7" s="133">
        <f>M7/O7</f>
        <v>0.96042989741084517</v>
      </c>
      <c r="Q7" s="17">
        <v>177</v>
      </c>
      <c r="R7" s="17">
        <v>18</v>
      </c>
      <c r="S7" s="20">
        <v>1844643</v>
      </c>
      <c r="T7" s="24">
        <f>SUM(U7:V7)</f>
        <v>2303638.3199999998</v>
      </c>
      <c r="U7" s="20">
        <v>1847847.44</v>
      </c>
      <c r="V7" s="20">
        <v>455790.88</v>
      </c>
      <c r="W7" s="135">
        <f>V7/T7</f>
        <v>0.19785696219882296</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13</v>
      </c>
      <c r="C8" s="17">
        <v>5.25</v>
      </c>
      <c r="D8" s="27">
        <f>SUM(B8:C8)</f>
        <v>18.25</v>
      </c>
      <c r="E8" s="27">
        <f>ROUND((O8/B8), 0)</f>
        <v>27</v>
      </c>
      <c r="F8" s="27">
        <f>ROUND((O8/D8), 0)</f>
        <v>19</v>
      </c>
      <c r="G8" s="17">
        <v>13</v>
      </c>
      <c r="H8" s="17">
        <v>4</v>
      </c>
      <c r="I8" s="17">
        <v>120</v>
      </c>
      <c r="J8" s="17">
        <v>380</v>
      </c>
      <c r="K8" s="27">
        <f>SUM(I8:J8)</f>
        <v>500</v>
      </c>
      <c r="L8" s="17">
        <v>210</v>
      </c>
      <c r="M8" s="29">
        <f>(I8+L8)</f>
        <v>330</v>
      </c>
      <c r="N8" s="255">
        <v>165</v>
      </c>
      <c r="O8" s="255">
        <v>350.67</v>
      </c>
      <c r="P8" s="133">
        <f t="shared" ref="P8:P23" si="22">M8/O8</f>
        <v>0.94105569338694495</v>
      </c>
      <c r="Q8" s="17">
        <v>134</v>
      </c>
      <c r="R8" s="17">
        <v>10</v>
      </c>
      <c r="S8" s="223">
        <v>1663145.3</v>
      </c>
      <c r="T8" s="28">
        <f>SUM(U8:V8)</f>
        <v>1680824.57</v>
      </c>
      <c r="U8" s="252">
        <v>1659379.33</v>
      </c>
      <c r="V8" s="20">
        <v>21445.24</v>
      </c>
      <c r="W8" s="135">
        <f t="shared" ref="W8:W23" si="23">V8/T8</f>
        <v>1.275876161186768E-2</v>
      </c>
    </row>
    <row r="9" spans="1:220" s="9" customFormat="1">
      <c r="A9" s="10">
        <v>2016</v>
      </c>
      <c r="B9" s="54">
        <v>11</v>
      </c>
      <c r="C9" s="54">
        <v>4.5</v>
      </c>
      <c r="D9" s="65">
        <f>SUM(B9:C9)</f>
        <v>15.5</v>
      </c>
      <c r="E9" s="13">
        <f>ROUND((O9/B9), 0)</f>
        <v>28</v>
      </c>
      <c r="F9" s="13">
        <f>ROUND((O9/D9), 0)</f>
        <v>20</v>
      </c>
      <c r="G9" s="54">
        <v>11</v>
      </c>
      <c r="H9" s="54">
        <v>3.25</v>
      </c>
      <c r="I9" s="54">
        <v>89</v>
      </c>
      <c r="J9" s="54">
        <v>357</v>
      </c>
      <c r="K9" s="65">
        <f>I9+J9</f>
        <v>446</v>
      </c>
      <c r="L9" s="54">
        <v>193.33</v>
      </c>
      <c r="M9" s="13">
        <f>I9+L9</f>
        <v>282.33000000000004</v>
      </c>
      <c r="N9" s="54">
        <v>143</v>
      </c>
      <c r="O9" s="54">
        <v>309.67</v>
      </c>
      <c r="P9" s="133">
        <f t="shared" si="22"/>
        <v>0.9117124681112152</v>
      </c>
      <c r="Q9" s="54">
        <v>145</v>
      </c>
      <c r="R9" s="54">
        <v>10</v>
      </c>
      <c r="S9" s="55">
        <v>1697055</v>
      </c>
      <c r="T9" s="24">
        <f>SUM(U9:V9)</f>
        <v>1685279</v>
      </c>
      <c r="U9" s="55">
        <v>1632466</v>
      </c>
      <c r="V9" s="55">
        <v>52813</v>
      </c>
      <c r="W9" s="135">
        <f t="shared" si="23"/>
        <v>3.1337837829819276E-2</v>
      </c>
    </row>
    <row r="10" spans="1:220" s="16" customFormat="1">
      <c r="A10" s="57">
        <v>2015</v>
      </c>
      <c r="B10" s="70">
        <v>12</v>
      </c>
      <c r="C10" s="70">
        <v>2.25</v>
      </c>
      <c r="D10" s="65">
        <v>14.25</v>
      </c>
      <c r="E10" s="65">
        <v>21.5</v>
      </c>
      <c r="F10" s="65">
        <v>18.100000000000001</v>
      </c>
      <c r="G10" s="83"/>
      <c r="H10" s="83"/>
      <c r="I10" s="70">
        <v>64</v>
      </c>
      <c r="J10" s="70">
        <v>309</v>
      </c>
      <c r="K10" s="65">
        <v>373</v>
      </c>
      <c r="L10" s="70">
        <v>167</v>
      </c>
      <c r="M10" s="65">
        <v>231</v>
      </c>
      <c r="N10" s="70">
        <v>114</v>
      </c>
      <c r="O10" s="70">
        <v>258</v>
      </c>
      <c r="P10" s="133">
        <f t="shared" si="22"/>
        <v>0.89534883720930236</v>
      </c>
      <c r="Q10" s="70">
        <v>135</v>
      </c>
      <c r="R10" s="70">
        <v>2</v>
      </c>
      <c r="S10" s="78">
        <v>1707073</v>
      </c>
      <c r="T10" s="79">
        <v>1671798</v>
      </c>
      <c r="U10" s="78">
        <v>1602818</v>
      </c>
      <c r="V10" s="78">
        <v>68980</v>
      </c>
      <c r="W10" s="135">
        <f t="shared" si="23"/>
        <v>4.1260965738683743E-2</v>
      </c>
    </row>
    <row r="11" spans="1:220" s="16" customFormat="1">
      <c r="A11" s="15">
        <v>2014</v>
      </c>
      <c r="B11" s="70">
        <v>12</v>
      </c>
      <c r="C11" s="70">
        <v>2.75</v>
      </c>
      <c r="D11" s="65">
        <f t="shared" ref="D11:D23" si="24">SUM(B11:C11)</f>
        <v>14.75</v>
      </c>
      <c r="E11" s="13">
        <f t="shared" ref="E11:E23" si="25">ROUND((O11/B11), 0)</f>
        <v>22</v>
      </c>
      <c r="F11" s="13">
        <f t="shared" ref="F11:F23" si="26">ROUND((O11/D11), 0)</f>
        <v>18</v>
      </c>
      <c r="G11" s="83"/>
      <c r="H11" s="83"/>
      <c r="I11" s="70">
        <v>67</v>
      </c>
      <c r="J11" s="70">
        <v>313</v>
      </c>
      <c r="K11" s="65">
        <f>I11+J11</f>
        <v>380</v>
      </c>
      <c r="L11" s="70">
        <v>170.36699999999999</v>
      </c>
      <c r="M11" s="13">
        <f>I11+L11</f>
        <v>237.36699999999999</v>
      </c>
      <c r="N11" s="70">
        <v>107</v>
      </c>
      <c r="O11" s="70">
        <v>268</v>
      </c>
      <c r="P11" s="133">
        <f t="shared" si="22"/>
        <v>0.88569776119402976</v>
      </c>
      <c r="Q11" s="70">
        <v>152</v>
      </c>
      <c r="R11" s="70">
        <v>10</v>
      </c>
      <c r="S11" s="71">
        <v>1815300</v>
      </c>
      <c r="T11" s="68">
        <f t="shared" ref="T11:T23" si="27">SUM(U11:V11)</f>
        <v>1754208</v>
      </c>
      <c r="U11" s="78">
        <v>1546882</v>
      </c>
      <c r="V11" s="71">
        <v>207326</v>
      </c>
      <c r="W11" s="135">
        <f t="shared" si="23"/>
        <v>0.11818780897134205</v>
      </c>
    </row>
    <row r="12" spans="1:220">
      <c r="A12" s="15">
        <v>2013</v>
      </c>
      <c r="B12" s="528">
        <v>12</v>
      </c>
      <c r="C12" s="528">
        <v>1.5</v>
      </c>
      <c r="D12" s="23">
        <f t="shared" si="24"/>
        <v>13.5</v>
      </c>
      <c r="E12" s="82">
        <f t="shared" si="25"/>
        <v>22</v>
      </c>
      <c r="F12" s="82">
        <f t="shared" si="26"/>
        <v>20</v>
      </c>
      <c r="G12" s="85"/>
      <c r="H12" s="85"/>
      <c r="I12" s="528">
        <v>68</v>
      </c>
      <c r="J12" s="528">
        <v>322</v>
      </c>
      <c r="K12" s="23">
        <f>I12+J12</f>
        <v>390</v>
      </c>
      <c r="L12" s="528">
        <v>172.33</v>
      </c>
      <c r="M12" s="82">
        <f>I12+L12</f>
        <v>240.33</v>
      </c>
      <c r="N12" s="528">
        <v>109</v>
      </c>
      <c r="O12" s="528">
        <v>263.64999999999998</v>
      </c>
      <c r="P12" s="133">
        <f t="shared" si="22"/>
        <v>0.91154940261710615</v>
      </c>
      <c r="Q12" s="528">
        <v>152</v>
      </c>
      <c r="R12" s="528">
        <v>3</v>
      </c>
      <c r="S12" s="84">
        <v>1959453</v>
      </c>
      <c r="T12" s="24">
        <f t="shared" si="27"/>
        <v>1589906</v>
      </c>
      <c r="U12" s="179">
        <v>1361525</v>
      </c>
      <c r="V12" s="84">
        <v>228381</v>
      </c>
      <c r="W12" s="135">
        <f t="shared" si="23"/>
        <v>0.14364434123778386</v>
      </c>
    </row>
    <row r="13" spans="1:220">
      <c r="A13" s="15" t="s">
        <v>25</v>
      </c>
      <c r="B13" s="528">
        <v>15</v>
      </c>
      <c r="C13" s="528">
        <v>3</v>
      </c>
      <c r="D13" s="23">
        <f t="shared" si="24"/>
        <v>18</v>
      </c>
      <c r="E13" s="82">
        <f t="shared" si="25"/>
        <v>18</v>
      </c>
      <c r="F13" s="82">
        <f t="shared" si="26"/>
        <v>15</v>
      </c>
      <c r="G13" s="85"/>
      <c r="H13" s="85"/>
      <c r="I13" s="528">
        <v>73</v>
      </c>
      <c r="J13" s="528">
        <v>319</v>
      </c>
      <c r="K13" s="23">
        <f>I13+J13</f>
        <v>392</v>
      </c>
      <c r="L13" s="528">
        <v>172.3</v>
      </c>
      <c r="M13" s="82">
        <f>I13+L13</f>
        <v>245.3</v>
      </c>
      <c r="N13" s="528">
        <v>102</v>
      </c>
      <c r="O13" s="528">
        <v>268.3</v>
      </c>
      <c r="P13" s="133">
        <f t="shared" si="22"/>
        <v>0.91427506522549384</v>
      </c>
      <c r="Q13" s="528">
        <v>158</v>
      </c>
      <c r="R13" s="528">
        <v>2</v>
      </c>
      <c r="S13" s="84">
        <v>1884775</v>
      </c>
      <c r="T13" s="24">
        <f t="shared" si="27"/>
        <v>1469277</v>
      </c>
      <c r="U13" s="179">
        <v>1405050</v>
      </c>
      <c r="V13" s="84">
        <v>64227</v>
      </c>
      <c r="W13" s="135">
        <f t="shared" si="23"/>
        <v>4.3713336559409829E-2</v>
      </c>
    </row>
    <row r="14" spans="1:220">
      <c r="A14" s="15" t="s">
        <v>26</v>
      </c>
      <c r="B14" s="528">
        <v>15</v>
      </c>
      <c r="C14" s="528">
        <v>0.5</v>
      </c>
      <c r="D14" s="23">
        <f t="shared" si="24"/>
        <v>15.5</v>
      </c>
      <c r="E14" s="82">
        <f t="shared" si="25"/>
        <v>19</v>
      </c>
      <c r="F14" s="82">
        <f t="shared" si="26"/>
        <v>19</v>
      </c>
      <c r="G14" s="85"/>
      <c r="H14" s="85"/>
      <c r="I14" s="528">
        <v>75</v>
      </c>
      <c r="J14" s="528">
        <v>347</v>
      </c>
      <c r="K14" s="23">
        <f t="shared" ref="K14:K23" si="28">SUM(I14:J14)</f>
        <v>422</v>
      </c>
      <c r="L14" s="528">
        <v>183.67</v>
      </c>
      <c r="M14" s="82">
        <f t="shared" ref="M14:M23" si="29">(I14+L14)</f>
        <v>258.66999999999996</v>
      </c>
      <c r="N14" s="528">
        <v>118</v>
      </c>
      <c r="O14" s="528">
        <v>287.33999999999997</v>
      </c>
      <c r="P14" s="133">
        <f t="shared" si="22"/>
        <v>0.90022273265121455</v>
      </c>
      <c r="Q14" s="528">
        <v>193</v>
      </c>
      <c r="R14" s="528">
        <v>2</v>
      </c>
      <c r="S14" s="84">
        <v>2000981</v>
      </c>
      <c r="T14" s="24">
        <f t="shared" si="27"/>
        <v>1343747</v>
      </c>
      <c r="U14" s="179">
        <v>1318041</v>
      </c>
      <c r="V14" s="84">
        <v>25706</v>
      </c>
      <c r="W14" s="135">
        <f t="shared" si="23"/>
        <v>1.9130089220664306E-2</v>
      </c>
    </row>
    <row r="15" spans="1:220">
      <c r="A15" s="15" t="s">
        <v>27</v>
      </c>
      <c r="B15" s="528">
        <v>15</v>
      </c>
      <c r="C15" s="528">
        <v>0.75</v>
      </c>
      <c r="D15" s="23">
        <f t="shared" si="24"/>
        <v>15.75</v>
      </c>
      <c r="E15" s="82">
        <f t="shared" si="25"/>
        <v>23</v>
      </c>
      <c r="F15" s="82">
        <f t="shared" si="26"/>
        <v>22</v>
      </c>
      <c r="G15" s="85"/>
      <c r="H15" s="85"/>
      <c r="I15" s="528">
        <v>96</v>
      </c>
      <c r="J15" s="528">
        <v>405</v>
      </c>
      <c r="K15" s="23">
        <f t="shared" si="28"/>
        <v>501</v>
      </c>
      <c r="L15" s="528">
        <v>213.08</v>
      </c>
      <c r="M15" s="82">
        <f t="shared" si="29"/>
        <v>309.08000000000004</v>
      </c>
      <c r="N15" s="528">
        <v>123</v>
      </c>
      <c r="O15" s="528">
        <v>341.41</v>
      </c>
      <c r="P15" s="133">
        <f t="shared" si="22"/>
        <v>0.90530447262821834</v>
      </c>
      <c r="Q15" s="528">
        <v>222</v>
      </c>
      <c r="R15" s="528">
        <v>2</v>
      </c>
      <c r="S15" s="84">
        <v>2203638</v>
      </c>
      <c r="T15" s="24">
        <f t="shared" si="27"/>
        <v>1605234</v>
      </c>
      <c r="U15" s="84">
        <v>1577218</v>
      </c>
      <c r="V15" s="84">
        <v>28016</v>
      </c>
      <c r="W15" s="135">
        <f t="shared" si="23"/>
        <v>1.7452907177395942E-2</v>
      </c>
    </row>
    <row r="16" spans="1:220">
      <c r="A16" s="15" t="s">
        <v>28</v>
      </c>
      <c r="B16" s="528">
        <v>15</v>
      </c>
      <c r="C16" s="528">
        <v>1.75</v>
      </c>
      <c r="D16" s="23">
        <f t="shared" si="24"/>
        <v>16.75</v>
      </c>
      <c r="E16" s="82">
        <f t="shared" si="25"/>
        <v>23</v>
      </c>
      <c r="F16" s="82">
        <f t="shared" si="26"/>
        <v>20</v>
      </c>
      <c r="G16" s="85"/>
      <c r="H16" s="85"/>
      <c r="I16" s="528">
        <v>72</v>
      </c>
      <c r="J16" s="528">
        <v>487</v>
      </c>
      <c r="K16" s="23">
        <f t="shared" si="28"/>
        <v>559</v>
      </c>
      <c r="L16" s="528">
        <v>251.33</v>
      </c>
      <c r="M16" s="82">
        <f t="shared" si="29"/>
        <v>323.33000000000004</v>
      </c>
      <c r="N16" s="528">
        <v>131</v>
      </c>
      <c r="O16" s="528">
        <v>343.33</v>
      </c>
      <c r="P16" s="133">
        <f t="shared" si="22"/>
        <v>0.94174700725249771</v>
      </c>
      <c r="Q16" s="528">
        <v>208</v>
      </c>
      <c r="R16" s="528">
        <v>1</v>
      </c>
      <c r="S16" s="84">
        <v>2306365</v>
      </c>
      <c r="T16" s="24">
        <f t="shared" si="27"/>
        <v>2040928</v>
      </c>
      <c r="U16" s="84">
        <v>1987143</v>
      </c>
      <c r="V16" s="84">
        <v>53785</v>
      </c>
      <c r="W16" s="135">
        <f t="shared" si="23"/>
        <v>2.6353207952460843E-2</v>
      </c>
    </row>
    <row r="17" spans="1:23">
      <c r="A17" s="15" t="s">
        <v>29</v>
      </c>
      <c r="B17" s="528">
        <v>13</v>
      </c>
      <c r="C17" s="528">
        <v>3.5</v>
      </c>
      <c r="D17" s="23">
        <f t="shared" si="24"/>
        <v>16.5</v>
      </c>
      <c r="E17" s="82">
        <f t="shared" si="25"/>
        <v>26</v>
      </c>
      <c r="F17" s="82">
        <f t="shared" si="26"/>
        <v>21</v>
      </c>
      <c r="G17" s="85"/>
      <c r="H17" s="85"/>
      <c r="I17" s="528">
        <v>60</v>
      </c>
      <c r="J17" s="528">
        <v>521</v>
      </c>
      <c r="K17" s="23">
        <f t="shared" si="28"/>
        <v>581</v>
      </c>
      <c r="L17" s="528">
        <v>263.39999999999998</v>
      </c>
      <c r="M17" s="82">
        <f t="shared" si="29"/>
        <v>323.39999999999998</v>
      </c>
      <c r="N17" s="528">
        <v>126</v>
      </c>
      <c r="O17" s="528">
        <v>342</v>
      </c>
      <c r="P17" s="133">
        <f t="shared" si="22"/>
        <v>0.94561403508771924</v>
      </c>
      <c r="Q17" s="528">
        <v>192</v>
      </c>
      <c r="R17" s="528">
        <v>1</v>
      </c>
      <c r="S17" s="84">
        <v>2768880</v>
      </c>
      <c r="T17" s="24">
        <f t="shared" si="27"/>
        <v>2048806</v>
      </c>
      <c r="U17" s="84">
        <v>1999469</v>
      </c>
      <c r="V17" s="84">
        <v>49337</v>
      </c>
      <c r="W17" s="135">
        <f t="shared" si="23"/>
        <v>2.4080854897925913E-2</v>
      </c>
    </row>
    <row r="18" spans="1:23">
      <c r="A18" s="15">
        <v>2007</v>
      </c>
      <c r="B18" s="528">
        <v>14</v>
      </c>
      <c r="C18" s="528">
        <v>3.25</v>
      </c>
      <c r="D18" s="23">
        <f t="shared" si="24"/>
        <v>17.25</v>
      </c>
      <c r="E18" s="82">
        <f t="shared" si="25"/>
        <v>24</v>
      </c>
      <c r="F18" s="82">
        <f t="shared" si="26"/>
        <v>19</v>
      </c>
      <c r="G18" s="85"/>
      <c r="H18" s="85"/>
      <c r="I18" s="528">
        <v>78</v>
      </c>
      <c r="J18" s="528">
        <v>489</v>
      </c>
      <c r="K18" s="23">
        <f t="shared" si="28"/>
        <v>567</v>
      </c>
      <c r="L18" s="528">
        <v>249</v>
      </c>
      <c r="M18" s="82">
        <f t="shared" si="29"/>
        <v>327</v>
      </c>
      <c r="N18" s="528">
        <v>108</v>
      </c>
      <c r="O18" s="528">
        <v>335</v>
      </c>
      <c r="P18" s="133">
        <f t="shared" si="22"/>
        <v>0.9761194029850746</v>
      </c>
      <c r="Q18" s="528">
        <v>169</v>
      </c>
      <c r="R18" s="528">
        <v>2</v>
      </c>
      <c r="S18" s="132">
        <v>2360814</v>
      </c>
      <c r="T18" s="24">
        <f t="shared" si="27"/>
        <v>2942519</v>
      </c>
      <c r="U18" s="132">
        <v>2062344</v>
      </c>
      <c r="V18" s="132">
        <v>880175</v>
      </c>
      <c r="W18" s="135">
        <f t="shared" si="23"/>
        <v>0.29912296233261365</v>
      </c>
    </row>
    <row r="19" spans="1:23">
      <c r="A19" s="15">
        <v>2006</v>
      </c>
      <c r="B19" s="528">
        <v>14</v>
      </c>
      <c r="C19" s="528">
        <v>4</v>
      </c>
      <c r="D19" s="23">
        <f t="shared" si="24"/>
        <v>18</v>
      </c>
      <c r="E19" s="82">
        <f t="shared" si="25"/>
        <v>25</v>
      </c>
      <c r="F19" s="82">
        <f t="shared" si="26"/>
        <v>20</v>
      </c>
      <c r="G19" s="85"/>
      <c r="H19" s="85"/>
      <c r="I19" s="528">
        <v>98</v>
      </c>
      <c r="J19" s="528">
        <v>494</v>
      </c>
      <c r="K19" s="23">
        <f t="shared" si="28"/>
        <v>592</v>
      </c>
      <c r="L19" s="528">
        <v>243</v>
      </c>
      <c r="M19" s="82">
        <f t="shared" si="29"/>
        <v>341</v>
      </c>
      <c r="N19" s="528">
        <v>116</v>
      </c>
      <c r="O19" s="528">
        <v>355</v>
      </c>
      <c r="P19" s="133">
        <f t="shared" si="22"/>
        <v>0.96056338028169019</v>
      </c>
      <c r="Q19" s="528">
        <v>168</v>
      </c>
      <c r="R19" s="528">
        <v>2</v>
      </c>
      <c r="S19" s="132">
        <v>2529854</v>
      </c>
      <c r="T19" s="24">
        <f t="shared" si="27"/>
        <v>3488880</v>
      </c>
      <c r="U19" s="132">
        <v>2367277</v>
      </c>
      <c r="V19" s="132">
        <v>1121603</v>
      </c>
      <c r="W19" s="135">
        <f t="shared" si="23"/>
        <v>0.32147938593474124</v>
      </c>
    </row>
    <row r="20" spans="1:23">
      <c r="A20" s="15">
        <v>2005</v>
      </c>
      <c r="B20" s="528">
        <v>15</v>
      </c>
      <c r="C20" s="528">
        <v>3.75</v>
      </c>
      <c r="D20" s="23">
        <f t="shared" si="24"/>
        <v>18.75</v>
      </c>
      <c r="E20" s="82">
        <f t="shared" si="25"/>
        <v>21</v>
      </c>
      <c r="F20" s="82">
        <f t="shared" si="26"/>
        <v>17</v>
      </c>
      <c r="G20" s="85"/>
      <c r="H20" s="85"/>
      <c r="I20" s="528">
        <v>84</v>
      </c>
      <c r="J20" s="528">
        <v>417</v>
      </c>
      <c r="K20" s="23">
        <f t="shared" si="28"/>
        <v>501</v>
      </c>
      <c r="L20" s="528">
        <v>213</v>
      </c>
      <c r="M20" s="82">
        <f t="shared" si="29"/>
        <v>297</v>
      </c>
      <c r="N20" s="528">
        <v>94</v>
      </c>
      <c r="O20" s="528">
        <v>313</v>
      </c>
      <c r="P20" s="133">
        <f t="shared" si="22"/>
        <v>0.94888178913738019</v>
      </c>
      <c r="Q20" s="528">
        <v>196</v>
      </c>
      <c r="R20" s="528">
        <v>4</v>
      </c>
      <c r="S20" s="132">
        <v>1651564</v>
      </c>
      <c r="T20" s="24">
        <f t="shared" si="27"/>
        <v>2318211</v>
      </c>
      <c r="U20" s="132">
        <v>1751723</v>
      </c>
      <c r="V20" s="132">
        <v>566488</v>
      </c>
      <c r="W20" s="135">
        <f t="shared" si="23"/>
        <v>0.24436429643375862</v>
      </c>
    </row>
    <row r="21" spans="1:23">
      <c r="A21" s="15">
        <v>2004</v>
      </c>
      <c r="B21" s="528">
        <v>11</v>
      </c>
      <c r="C21" s="528">
        <v>6</v>
      </c>
      <c r="D21" s="23">
        <f t="shared" si="24"/>
        <v>17</v>
      </c>
      <c r="E21" s="82">
        <f t="shared" si="25"/>
        <v>30</v>
      </c>
      <c r="F21" s="82">
        <f t="shared" si="26"/>
        <v>19</v>
      </c>
      <c r="G21" s="85"/>
      <c r="H21" s="85"/>
      <c r="I21" s="528">
        <v>109</v>
      </c>
      <c r="J21" s="528">
        <v>410</v>
      </c>
      <c r="K21" s="23">
        <f t="shared" si="28"/>
        <v>519</v>
      </c>
      <c r="L21" s="528">
        <v>211</v>
      </c>
      <c r="M21" s="82">
        <f t="shared" si="29"/>
        <v>320</v>
      </c>
      <c r="N21" s="528">
        <v>115</v>
      </c>
      <c r="O21" s="528">
        <v>331</v>
      </c>
      <c r="P21" s="133">
        <f t="shared" si="22"/>
        <v>0.96676737160120851</v>
      </c>
      <c r="Q21" s="528">
        <v>117</v>
      </c>
      <c r="R21" s="528">
        <v>1</v>
      </c>
      <c r="S21" s="132">
        <v>1306448</v>
      </c>
      <c r="T21" s="24">
        <f t="shared" si="27"/>
        <v>2036649</v>
      </c>
      <c r="U21" s="132">
        <v>1372941</v>
      </c>
      <c r="V21" s="132">
        <v>663708</v>
      </c>
      <c r="W21" s="135">
        <f t="shared" si="23"/>
        <v>0.32588236853773034</v>
      </c>
    </row>
    <row r="22" spans="1:23">
      <c r="A22" s="15">
        <v>2003</v>
      </c>
      <c r="B22" s="528">
        <v>10</v>
      </c>
      <c r="C22" s="528">
        <v>4</v>
      </c>
      <c r="D22" s="23">
        <f t="shared" si="24"/>
        <v>14</v>
      </c>
      <c r="E22" s="82">
        <f t="shared" si="25"/>
        <v>31</v>
      </c>
      <c r="F22" s="82">
        <f t="shared" si="26"/>
        <v>22</v>
      </c>
      <c r="G22" s="85"/>
      <c r="H22" s="85"/>
      <c r="I22" s="528">
        <v>122</v>
      </c>
      <c r="J22" s="528">
        <v>360</v>
      </c>
      <c r="K22" s="23">
        <f t="shared" si="28"/>
        <v>482</v>
      </c>
      <c r="L22" s="528">
        <v>179</v>
      </c>
      <c r="M22" s="82">
        <f t="shared" si="29"/>
        <v>301</v>
      </c>
      <c r="N22" s="528">
        <v>107</v>
      </c>
      <c r="O22" s="528">
        <v>310</v>
      </c>
      <c r="P22" s="133">
        <f t="shared" si="22"/>
        <v>0.97096774193548385</v>
      </c>
      <c r="Q22" s="528">
        <v>78</v>
      </c>
      <c r="R22" s="528">
        <v>0</v>
      </c>
      <c r="S22" s="132">
        <v>920224</v>
      </c>
      <c r="T22" s="24">
        <f t="shared" si="27"/>
        <v>1710789</v>
      </c>
      <c r="U22" s="132">
        <v>967123</v>
      </c>
      <c r="V22" s="132">
        <v>743666</v>
      </c>
      <c r="W22" s="135">
        <f t="shared" si="23"/>
        <v>0.43469182932553341</v>
      </c>
    </row>
    <row r="23" spans="1:23">
      <c r="A23" s="15">
        <v>2002</v>
      </c>
      <c r="B23" s="528">
        <v>10</v>
      </c>
      <c r="C23" s="528">
        <v>2</v>
      </c>
      <c r="D23" s="23">
        <f t="shared" si="24"/>
        <v>12</v>
      </c>
      <c r="E23" s="82">
        <f t="shared" si="25"/>
        <v>17</v>
      </c>
      <c r="F23" s="82">
        <f t="shared" si="26"/>
        <v>14</v>
      </c>
      <c r="G23" s="85"/>
      <c r="H23" s="85"/>
      <c r="I23" s="528">
        <v>52</v>
      </c>
      <c r="J23" s="528">
        <v>219</v>
      </c>
      <c r="K23" s="23">
        <f t="shared" si="28"/>
        <v>271</v>
      </c>
      <c r="L23" s="528">
        <f>ROUND(104.3, 0)</f>
        <v>104</v>
      </c>
      <c r="M23" s="82">
        <f t="shared" si="29"/>
        <v>156</v>
      </c>
      <c r="N23" s="528">
        <v>57</v>
      </c>
      <c r="O23" s="528">
        <f>ROUND(165.4, 0)</f>
        <v>165</v>
      </c>
      <c r="P23" s="133">
        <f t="shared" si="22"/>
        <v>0.94545454545454544</v>
      </c>
      <c r="Q23" s="528">
        <v>76</v>
      </c>
      <c r="R23" s="528">
        <v>2</v>
      </c>
      <c r="S23" s="132">
        <v>1117579</v>
      </c>
      <c r="T23" s="24">
        <f t="shared" si="27"/>
        <v>1178258</v>
      </c>
      <c r="U23" s="132">
        <v>943819</v>
      </c>
      <c r="V23" s="132">
        <v>234439</v>
      </c>
      <c r="W23" s="135">
        <f t="shared" si="23"/>
        <v>0.19897085358215263</v>
      </c>
    </row>
    <row r="24" spans="1:23">
      <c r="A24" s="538" t="s">
        <v>217</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3" s="12" customFormat="1">
      <c r="A25" s="571" t="s">
        <v>218</v>
      </c>
      <c r="B25" s="571"/>
      <c r="C25" s="571"/>
      <c r="D25" s="571"/>
      <c r="E25" s="571"/>
      <c r="F25" s="571"/>
      <c r="G25" s="571"/>
      <c r="H25" s="571"/>
      <c r="I25" s="571"/>
      <c r="J25" s="571"/>
      <c r="K25" s="571"/>
      <c r="L25" s="571"/>
      <c r="M25" s="571"/>
      <c r="N25" s="571"/>
      <c r="O25" s="571"/>
      <c r="P25" s="571"/>
      <c r="Q25" s="571"/>
      <c r="R25" s="571"/>
      <c r="S25" s="571"/>
      <c r="T25" s="571"/>
      <c r="U25" s="571"/>
      <c r="V25" s="571"/>
      <c r="W25" s="571"/>
    </row>
    <row r="26" spans="1:23" s="12" customFormat="1" ht="33.75" customHeight="1">
      <c r="A26" s="544" t="s">
        <v>219</v>
      </c>
      <c r="B26" s="544"/>
      <c r="C26" s="544"/>
      <c r="D26" s="544"/>
      <c r="E26" s="544"/>
      <c r="F26" s="544"/>
      <c r="G26" s="544"/>
      <c r="H26" s="544"/>
      <c r="I26" s="544"/>
      <c r="J26" s="544"/>
      <c r="K26" s="544"/>
      <c r="L26" s="544"/>
      <c r="M26" s="544"/>
      <c r="N26" s="544"/>
      <c r="O26" s="544"/>
      <c r="P26" s="544"/>
      <c r="Q26" s="544"/>
      <c r="R26" s="544"/>
      <c r="S26" s="544"/>
      <c r="T26" s="544"/>
      <c r="U26" s="544"/>
      <c r="V26" s="544"/>
    </row>
    <row r="27" spans="1:23" s="12" customFormat="1">
      <c r="A27" s="572" t="s">
        <v>220</v>
      </c>
      <c r="B27" s="573"/>
      <c r="C27" s="573"/>
      <c r="D27" s="573"/>
      <c r="E27" s="573"/>
      <c r="F27" s="573"/>
      <c r="G27" s="573"/>
      <c r="H27" s="573"/>
      <c r="I27" s="573"/>
      <c r="J27" s="573"/>
      <c r="K27" s="573"/>
      <c r="L27" s="573"/>
      <c r="M27" s="573"/>
      <c r="N27" s="573"/>
      <c r="O27" s="573"/>
      <c r="P27" s="573"/>
      <c r="Q27" s="573"/>
      <c r="R27" s="573"/>
      <c r="S27" s="573"/>
      <c r="T27" s="573"/>
      <c r="U27" s="573"/>
      <c r="V27" s="573"/>
      <c r="W27" s="574"/>
    </row>
    <row r="28" spans="1:23" s="12" customFormat="1" ht="33.75" customHeight="1">
      <c r="G28"/>
      <c r="H28"/>
    </row>
    <row r="29" spans="1:23" s="12" customFormat="1">
      <c r="G29"/>
      <c r="H29"/>
    </row>
    <row r="30" spans="1:23" s="12" customFormat="1">
      <c r="G30"/>
      <c r="H30"/>
    </row>
    <row r="31" spans="1:23" s="12" customFormat="1">
      <c r="G31"/>
      <c r="H31"/>
    </row>
    <row r="32" spans="1:23" s="12" customFormat="1">
      <c r="G32"/>
      <c r="H32"/>
    </row>
    <row r="33" spans="7:8" s="12" customFormat="1">
      <c r="G33"/>
      <c r="H33"/>
    </row>
    <row r="34" spans="7:8" s="12" customFormat="1">
      <c r="G34"/>
      <c r="H34"/>
    </row>
  </sheetData>
  <mergeCells count="4">
    <mergeCell ref="A24:W24"/>
    <mergeCell ref="A25:W25"/>
    <mergeCell ref="A26:V26"/>
    <mergeCell ref="A27:W27"/>
  </mergeCells>
  <printOptions headings="1" gridLines="1"/>
  <pageMargins left="0.5" right="0.5" top="0.5" bottom="0.5" header="0" footer="0"/>
  <pageSetup paperSize="5" scale="66" orientation="landscape"/>
  <legacyDrawing r:id="rId1"/>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HL35"/>
  <sheetViews>
    <sheetView workbookViewId="0">
      <selection activeCell="G5" sqref="G5"/>
    </sheetView>
  </sheetViews>
  <sheetFormatPr defaultColWidth="8.85546875" defaultRowHeight="15"/>
  <cols>
    <col min="1" max="1" width="10.285156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1.140625" bestFit="1" customWidth="1"/>
    <col min="22" max="22" width="10.85546875" bestFit="1" customWidth="1"/>
    <col min="23" max="23" width="12.85546875" bestFit="1" customWidth="1"/>
  </cols>
  <sheetData>
    <row r="1" spans="1:220" s="7" customFormat="1" ht="18.75">
      <c r="A1" s="1" t="s">
        <v>221</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14" customFormat="1">
      <c r="A3" s="10">
        <v>2022</v>
      </c>
      <c r="B3" s="17">
        <v>33</v>
      </c>
      <c r="C3" s="17">
        <v>13.33</v>
      </c>
      <c r="D3" s="23">
        <f t="shared" ref="D3" si="0">SUM(B3:C3)</f>
        <v>46.33</v>
      </c>
      <c r="E3" s="82">
        <f>ROUND((O3/B3), 0)</f>
        <v>25</v>
      </c>
      <c r="F3" s="82">
        <f>ROUND((O3/D3), 0)</f>
        <v>18</v>
      </c>
      <c r="G3" s="17">
        <v>30</v>
      </c>
      <c r="H3" s="17">
        <v>10.5</v>
      </c>
      <c r="I3" s="343">
        <v>631</v>
      </c>
      <c r="J3" s="343">
        <v>138</v>
      </c>
      <c r="K3" s="23">
        <f>SUM(I3:J3)</f>
        <v>769</v>
      </c>
      <c r="L3" s="344">
        <v>41.4</v>
      </c>
      <c r="M3" s="82">
        <f>(I3+L3)</f>
        <v>672.4</v>
      </c>
      <c r="N3" s="284" t="s">
        <v>40</v>
      </c>
      <c r="O3" s="343">
        <v>820.2</v>
      </c>
      <c r="P3" s="133">
        <f>M3/O3</f>
        <v>0.81980004876859291</v>
      </c>
      <c r="Q3" s="343">
        <v>319</v>
      </c>
      <c r="R3" s="343">
        <v>24</v>
      </c>
      <c r="S3" s="20">
        <v>15813916</v>
      </c>
      <c r="T3" s="24">
        <f>SUM(U3:V3)</f>
        <v>19858130</v>
      </c>
      <c r="U3" s="522">
        <v>19148073</v>
      </c>
      <c r="V3" s="522">
        <v>710057</v>
      </c>
      <c r="W3" s="135">
        <f>V3/T3</f>
        <v>3.5756488652254767E-2</v>
      </c>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row>
    <row r="4" spans="1:220" s="14" customFormat="1">
      <c r="A4" s="10">
        <v>2021</v>
      </c>
      <c r="B4" s="17">
        <v>39</v>
      </c>
      <c r="C4" s="17">
        <v>12</v>
      </c>
      <c r="D4" s="23">
        <f>SUM(B4:C4)</f>
        <v>51</v>
      </c>
      <c r="E4" s="82">
        <f t="shared" ref="E4" si="1">ROUND((O4/B4), 0)</f>
        <v>23</v>
      </c>
      <c r="F4" s="82">
        <f t="shared" ref="F4" si="2">ROUND((O4/D4), 0)</f>
        <v>17</v>
      </c>
      <c r="G4" s="17">
        <v>34</v>
      </c>
      <c r="H4" s="17">
        <v>10</v>
      </c>
      <c r="I4" s="343">
        <v>630</v>
      </c>
      <c r="J4" s="343">
        <v>136</v>
      </c>
      <c r="K4" s="23">
        <v>766</v>
      </c>
      <c r="L4" s="344">
        <v>40.799999999999997</v>
      </c>
      <c r="M4" s="82">
        <v>670.8</v>
      </c>
      <c r="N4" s="284" t="s">
        <v>40</v>
      </c>
      <c r="O4" s="343">
        <v>881.8</v>
      </c>
      <c r="P4" s="133">
        <v>0.76100000000000001</v>
      </c>
      <c r="Q4" s="343">
        <f>18+262+91</f>
        <v>371</v>
      </c>
      <c r="R4" s="343">
        <f>35+4+12</f>
        <v>51</v>
      </c>
      <c r="S4" s="20">
        <v>14982131</v>
      </c>
      <c r="T4" s="24">
        <v>21379184</v>
      </c>
      <c r="U4" s="20">
        <v>21097716</v>
      </c>
      <c r="V4" s="345">
        <v>281468</v>
      </c>
      <c r="W4" s="135">
        <f>V4/T4</f>
        <v>1.3165516513633074E-2</v>
      </c>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row>
    <row r="5" spans="1:220" s="14" customFormat="1">
      <c r="A5" s="10">
        <v>2020</v>
      </c>
      <c r="B5" s="17">
        <v>37</v>
      </c>
      <c r="C5" s="17">
        <v>11</v>
      </c>
      <c r="D5" s="23">
        <f>SUM(B5:C5)</f>
        <v>48</v>
      </c>
      <c r="E5" s="82">
        <f>ROUND((O5/B5), 0)</f>
        <v>24</v>
      </c>
      <c r="F5" s="82">
        <f>ROUND((O5/D5), 0)</f>
        <v>18</v>
      </c>
      <c r="G5" s="17">
        <v>33</v>
      </c>
      <c r="H5" s="17">
        <v>10</v>
      </c>
      <c r="I5" s="343">
        <v>684</v>
      </c>
      <c r="J5" s="343">
        <v>134</v>
      </c>
      <c r="K5" s="23">
        <f t="shared" ref="K5" si="3">SUM(I5:J5)</f>
        <v>818</v>
      </c>
      <c r="L5" s="344">
        <v>40.200000000000003</v>
      </c>
      <c r="M5" s="82">
        <f>(I5+L5)</f>
        <v>724.2</v>
      </c>
      <c r="N5" s="284" t="s">
        <v>40</v>
      </c>
      <c r="O5" s="343">
        <v>878</v>
      </c>
      <c r="P5" s="133">
        <f t="shared" ref="P5" si="4">M5/O5</f>
        <v>0.82482915717539873</v>
      </c>
      <c r="Q5" s="343">
        <v>282</v>
      </c>
      <c r="R5" s="343">
        <v>50</v>
      </c>
      <c r="S5" s="20">
        <v>14306059</v>
      </c>
      <c r="T5" s="24">
        <v>16801921</v>
      </c>
      <c r="U5" s="20">
        <v>16696555</v>
      </c>
      <c r="V5" s="345">
        <v>105366</v>
      </c>
      <c r="W5" s="135">
        <f t="shared" ref="W5" si="5">V5/T5</f>
        <v>6.2710686474481102E-3</v>
      </c>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row>
    <row r="6" spans="1:220" s="14" customFormat="1">
      <c r="A6" s="10">
        <v>2019</v>
      </c>
      <c r="B6" s="17">
        <v>33</v>
      </c>
      <c r="C6" s="17">
        <v>5</v>
      </c>
      <c r="D6" s="23">
        <f>SUM(B6:C6)</f>
        <v>38</v>
      </c>
      <c r="E6" s="82">
        <f>ROUND((O6/B6), 0)</f>
        <v>26</v>
      </c>
      <c r="F6" s="82">
        <f>ROUND((O6/D6), 0)</f>
        <v>22</v>
      </c>
      <c r="G6" s="17">
        <v>29</v>
      </c>
      <c r="H6" s="17">
        <v>4</v>
      </c>
      <c r="I6" s="343">
        <v>635</v>
      </c>
      <c r="J6" s="343">
        <v>113</v>
      </c>
      <c r="K6" s="23">
        <f>SUM(I6:J6)</f>
        <v>748</v>
      </c>
      <c r="L6" s="344">
        <f>J6/3</f>
        <v>37.666666666666664</v>
      </c>
      <c r="M6" s="82">
        <f>(I6+L6)</f>
        <v>672.66666666666663</v>
      </c>
      <c r="N6" s="284" t="s">
        <v>40</v>
      </c>
      <c r="O6" s="343">
        <f>(120/3)+814</f>
        <v>854</v>
      </c>
      <c r="P6" s="133">
        <f>M6/O6</f>
        <v>0.78766588602654175</v>
      </c>
      <c r="Q6" s="343">
        <v>233</v>
      </c>
      <c r="R6" s="343">
        <v>58</v>
      </c>
      <c r="S6" s="20">
        <v>11829132.039999999</v>
      </c>
      <c r="T6" s="24">
        <v>14365455.27</v>
      </c>
      <c r="U6" s="20">
        <v>13272900</v>
      </c>
      <c r="V6" s="345">
        <v>1092555.2699999996</v>
      </c>
      <c r="W6" s="135">
        <f>V6/T6</f>
        <v>7.605434352516692E-2</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28</v>
      </c>
      <c r="C7" s="17">
        <v>7.67</v>
      </c>
      <c r="D7" s="23">
        <f>SUM(B7:C7)</f>
        <v>35.67</v>
      </c>
      <c r="E7" s="82">
        <f>ROUND((O7/B7), 0)</f>
        <v>25</v>
      </c>
      <c r="F7" s="82">
        <f>ROUND((O7/D7), 0)</f>
        <v>20</v>
      </c>
      <c r="G7" s="17">
        <v>24</v>
      </c>
      <c r="H7" s="17">
        <v>5.67</v>
      </c>
      <c r="I7" s="17">
        <v>515</v>
      </c>
      <c r="J7" s="17">
        <v>100</v>
      </c>
      <c r="K7" s="23">
        <f t="shared" ref="K7" si="6">SUM(I7:J7)</f>
        <v>615</v>
      </c>
      <c r="L7" s="17">
        <v>33.299999999999997</v>
      </c>
      <c r="M7" s="82">
        <f>(I7+L7)</f>
        <v>548.29999999999995</v>
      </c>
      <c r="N7" s="284" t="s">
        <v>40</v>
      </c>
      <c r="O7" s="17">
        <v>706.3</v>
      </c>
      <c r="P7" s="133">
        <f>M7/O7</f>
        <v>0.77629902307801213</v>
      </c>
      <c r="Q7" s="17">
        <v>242</v>
      </c>
      <c r="R7" s="17">
        <v>61</v>
      </c>
      <c r="S7" s="20">
        <v>10608798</v>
      </c>
      <c r="T7" s="24">
        <f>SUM(U7:V7)</f>
        <v>12304679</v>
      </c>
      <c r="U7" s="20">
        <v>11600654</v>
      </c>
      <c r="V7" s="20">
        <v>704025</v>
      </c>
      <c r="W7" s="135">
        <f>V7/T7</f>
        <v>5.7216039524476826E-2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26</v>
      </c>
      <c r="C8" s="17">
        <v>6</v>
      </c>
      <c r="D8" s="27">
        <f>SUM(B8:C8)</f>
        <v>32</v>
      </c>
      <c r="E8" s="27">
        <f>ROUND((O8/B8), 0)</f>
        <v>27</v>
      </c>
      <c r="F8" s="27">
        <f>ROUND((O8/D8), 0)</f>
        <v>22</v>
      </c>
      <c r="G8" s="17">
        <v>20</v>
      </c>
      <c r="H8" s="17">
        <v>6</v>
      </c>
      <c r="I8" s="17">
        <v>486</v>
      </c>
      <c r="J8" s="17">
        <v>74</v>
      </c>
      <c r="K8" s="27">
        <f>SUM(I8:J8)</f>
        <v>560</v>
      </c>
      <c r="L8" s="17">
        <v>25</v>
      </c>
      <c r="M8" s="29">
        <f>(I8+L8)</f>
        <v>511</v>
      </c>
      <c r="N8" s="262" t="s">
        <v>40</v>
      </c>
      <c r="O8" s="255">
        <v>692.3</v>
      </c>
      <c r="P8" s="133">
        <f t="shared" ref="P8:P23" si="7">M8/O8</f>
        <v>0.73811931243680495</v>
      </c>
      <c r="Q8" s="17">
        <v>228</v>
      </c>
      <c r="R8" s="17">
        <v>56</v>
      </c>
      <c r="S8" s="223">
        <v>9989425</v>
      </c>
      <c r="T8" s="28">
        <f>SUM(U8:V8)</f>
        <v>10028505</v>
      </c>
      <c r="U8" s="252">
        <v>9205196</v>
      </c>
      <c r="V8" s="20">
        <v>823309</v>
      </c>
      <c r="W8" s="135">
        <f t="shared" ref="W8:W23" si="8">V8/T8</f>
        <v>8.2096882835477475E-2</v>
      </c>
    </row>
    <row r="9" spans="1:220" s="9" customFormat="1">
      <c r="A9" s="10">
        <v>2016</v>
      </c>
      <c r="B9" s="54">
        <v>26</v>
      </c>
      <c r="C9" s="54">
        <v>5</v>
      </c>
      <c r="D9" s="65">
        <f>B9+C9</f>
        <v>31</v>
      </c>
      <c r="E9" s="13">
        <f>ROUND((O9/B9), 0)</f>
        <v>24</v>
      </c>
      <c r="F9" s="13">
        <f>ROUND((O9/D9), 0)</f>
        <v>20</v>
      </c>
      <c r="G9" s="54">
        <v>17</v>
      </c>
      <c r="H9" s="54">
        <v>3.3</v>
      </c>
      <c r="I9" s="54">
        <v>439</v>
      </c>
      <c r="J9" s="54">
        <v>69</v>
      </c>
      <c r="K9" s="65">
        <f>I9+J9</f>
        <v>508</v>
      </c>
      <c r="L9" s="54">
        <v>35.020000000000003</v>
      </c>
      <c r="M9" s="13">
        <f>I9+L9</f>
        <v>474.02</v>
      </c>
      <c r="N9" s="19" t="s">
        <v>40</v>
      </c>
      <c r="O9" s="54">
        <v>633.02</v>
      </c>
      <c r="P9" s="133">
        <f t="shared" si="7"/>
        <v>0.74882310195570434</v>
      </c>
      <c r="Q9" s="54">
        <v>188</v>
      </c>
      <c r="R9" s="54">
        <v>42</v>
      </c>
      <c r="S9" s="55">
        <v>10857828</v>
      </c>
      <c r="T9" s="68">
        <f>SUM(U9:V9)</f>
        <v>9807828</v>
      </c>
      <c r="U9" s="55">
        <v>9205196</v>
      </c>
      <c r="V9" s="55">
        <v>602632</v>
      </c>
      <c r="W9" s="135">
        <f t="shared" si="8"/>
        <v>6.1443981276996296E-2</v>
      </c>
    </row>
    <row r="10" spans="1:220" s="16" customFormat="1">
      <c r="A10" s="57">
        <v>2015</v>
      </c>
      <c r="B10" s="70">
        <v>16</v>
      </c>
      <c r="C10" s="70">
        <v>2</v>
      </c>
      <c r="D10" s="65">
        <v>18</v>
      </c>
      <c r="E10" s="65">
        <v>33.4</v>
      </c>
      <c r="F10" s="65">
        <v>29.7</v>
      </c>
      <c r="G10" s="83"/>
      <c r="H10" s="83"/>
      <c r="I10" s="70">
        <v>356</v>
      </c>
      <c r="J10" s="70">
        <v>80</v>
      </c>
      <c r="K10" s="65">
        <v>436</v>
      </c>
      <c r="L10" s="70">
        <v>27</v>
      </c>
      <c r="M10" s="65">
        <v>382.6</v>
      </c>
      <c r="N10" s="19" t="s">
        <v>40</v>
      </c>
      <c r="O10" s="70">
        <v>533.9</v>
      </c>
      <c r="P10" s="133">
        <f t="shared" si="7"/>
        <v>0.7166135980520697</v>
      </c>
      <c r="Q10" s="70">
        <v>164</v>
      </c>
      <c r="R10" s="70">
        <v>44</v>
      </c>
      <c r="S10" s="78">
        <v>9553460</v>
      </c>
      <c r="T10" s="79">
        <v>8674039</v>
      </c>
      <c r="U10" s="78">
        <v>8402350</v>
      </c>
      <c r="V10" s="78">
        <v>271689</v>
      </c>
      <c r="W10" s="135">
        <f t="shared" si="8"/>
        <v>3.132208651586648E-2</v>
      </c>
    </row>
    <row r="11" spans="1:220" s="16" customFormat="1">
      <c r="A11" s="15">
        <v>2014</v>
      </c>
      <c r="B11" s="70">
        <v>25</v>
      </c>
      <c r="C11" s="70">
        <v>2.23</v>
      </c>
      <c r="D11" s="65">
        <f>B11+C11</f>
        <v>27.23</v>
      </c>
      <c r="E11" s="13">
        <f t="shared" ref="E11:E23" si="9">ROUND((O11/B11), 0)</f>
        <v>10</v>
      </c>
      <c r="F11" s="13">
        <f t="shared" ref="F11:F23" si="10">ROUND((O11/D11), 0)</f>
        <v>9</v>
      </c>
      <c r="G11" s="83"/>
      <c r="H11" s="83"/>
      <c r="I11" s="70">
        <v>181</v>
      </c>
      <c r="J11" s="70">
        <v>23</v>
      </c>
      <c r="K11" s="65">
        <f>I11+J11</f>
        <v>204</v>
      </c>
      <c r="L11" s="70">
        <v>6.9</v>
      </c>
      <c r="M11" s="13">
        <f>I11+L11</f>
        <v>187.9</v>
      </c>
      <c r="N11" s="19" t="s">
        <v>40</v>
      </c>
      <c r="O11" s="70">
        <v>245</v>
      </c>
      <c r="P11" s="133">
        <f t="shared" si="7"/>
        <v>0.76693877551020406</v>
      </c>
      <c r="Q11" s="70">
        <v>165</v>
      </c>
      <c r="R11" s="70">
        <v>38</v>
      </c>
      <c r="S11" s="71">
        <v>10963966</v>
      </c>
      <c r="T11" s="68">
        <f t="shared" ref="T11:T23" si="11">SUM(U11:V11)</f>
        <v>10030277</v>
      </c>
      <c r="U11" s="71">
        <v>8342254</v>
      </c>
      <c r="V11" s="71">
        <v>1688023</v>
      </c>
      <c r="W11" s="135">
        <f t="shared" si="8"/>
        <v>0.16829276001051616</v>
      </c>
    </row>
    <row r="12" spans="1:220">
      <c r="A12" s="15">
        <v>2013</v>
      </c>
      <c r="B12" s="528">
        <v>24</v>
      </c>
      <c r="C12" s="528">
        <v>6</v>
      </c>
      <c r="D12" s="23">
        <f>B12+C12</f>
        <v>30</v>
      </c>
      <c r="E12" s="82">
        <f t="shared" si="9"/>
        <v>21</v>
      </c>
      <c r="F12" s="82">
        <f t="shared" si="10"/>
        <v>17</v>
      </c>
      <c r="G12" s="85"/>
      <c r="H12" s="85"/>
      <c r="I12" s="528">
        <v>300</v>
      </c>
      <c r="J12" s="528">
        <v>105</v>
      </c>
      <c r="K12" s="23">
        <f>I12+J12</f>
        <v>405</v>
      </c>
      <c r="L12" s="528">
        <v>31.5</v>
      </c>
      <c r="M12" s="82">
        <f>I12+L12</f>
        <v>331.5</v>
      </c>
      <c r="N12" s="19" t="s">
        <v>40</v>
      </c>
      <c r="O12" s="528">
        <v>496.9</v>
      </c>
      <c r="P12" s="133">
        <f t="shared" si="7"/>
        <v>0.66713624471724697</v>
      </c>
      <c r="Q12" s="528">
        <v>197</v>
      </c>
      <c r="R12" s="528">
        <v>43</v>
      </c>
      <c r="S12" s="84">
        <v>8741132</v>
      </c>
      <c r="T12" s="24">
        <f t="shared" si="11"/>
        <v>8962445</v>
      </c>
      <c r="U12" s="84">
        <v>8980602</v>
      </c>
      <c r="V12" s="84">
        <v>-18157</v>
      </c>
      <c r="W12" s="135">
        <f t="shared" si="8"/>
        <v>-2.0258980668779558E-3</v>
      </c>
    </row>
    <row r="13" spans="1:220">
      <c r="A13" s="15">
        <v>2012</v>
      </c>
      <c r="B13" s="528">
        <v>22</v>
      </c>
      <c r="C13" s="528">
        <v>6</v>
      </c>
      <c r="D13" s="23">
        <f>B13+C13</f>
        <v>28</v>
      </c>
      <c r="E13" s="82">
        <f t="shared" si="9"/>
        <v>22</v>
      </c>
      <c r="F13" s="82">
        <f t="shared" si="10"/>
        <v>17</v>
      </c>
      <c r="G13" s="85"/>
      <c r="H13" s="85"/>
      <c r="I13" s="528">
        <v>320</v>
      </c>
      <c r="J13" s="528">
        <v>128</v>
      </c>
      <c r="K13" s="23">
        <f>I13+J13</f>
        <v>448</v>
      </c>
      <c r="L13" s="528">
        <v>42.7</v>
      </c>
      <c r="M13" s="82">
        <f>I13+L13</f>
        <v>362.7</v>
      </c>
      <c r="N13" s="19" t="s">
        <v>40</v>
      </c>
      <c r="O13" s="528">
        <v>487.90000000000003</v>
      </c>
      <c r="P13" s="133">
        <f t="shared" si="7"/>
        <v>0.74339003894240618</v>
      </c>
      <c r="Q13" s="528">
        <v>160</v>
      </c>
      <c r="R13" s="528">
        <v>41</v>
      </c>
      <c r="S13" s="84">
        <v>8402912</v>
      </c>
      <c r="T13" s="24">
        <f t="shared" si="11"/>
        <v>8432609</v>
      </c>
      <c r="U13" s="84">
        <v>8372776</v>
      </c>
      <c r="V13" s="84">
        <v>59833</v>
      </c>
      <c r="W13" s="135">
        <f t="shared" si="8"/>
        <v>7.0954315562360357E-3</v>
      </c>
    </row>
    <row r="14" spans="1:220">
      <c r="A14" s="15" t="s">
        <v>26</v>
      </c>
      <c r="B14" s="528">
        <v>24</v>
      </c>
      <c r="C14" s="528">
        <v>6</v>
      </c>
      <c r="D14" s="23">
        <f t="shared" ref="D14:D23" si="12">SUM(B14:C14)</f>
        <v>30</v>
      </c>
      <c r="E14" s="82">
        <f t="shared" si="9"/>
        <v>20</v>
      </c>
      <c r="F14" s="82">
        <f t="shared" si="10"/>
        <v>16</v>
      </c>
      <c r="G14" s="85"/>
      <c r="H14" s="85"/>
      <c r="I14" s="528">
        <v>330</v>
      </c>
      <c r="J14" s="528">
        <v>113</v>
      </c>
      <c r="K14" s="23">
        <f t="shared" ref="K14:K23" si="13">SUM(I14:J14)</f>
        <v>443</v>
      </c>
      <c r="L14" s="528">
        <v>37.700000000000003</v>
      </c>
      <c r="M14" s="82">
        <f t="shared" ref="M14:M23" si="14">(I14+L14)</f>
        <v>367.7</v>
      </c>
      <c r="N14" s="19" t="s">
        <v>40</v>
      </c>
      <c r="O14" s="528">
        <v>490.79999999999995</v>
      </c>
      <c r="P14" s="133">
        <f t="shared" si="7"/>
        <v>0.74918500407497968</v>
      </c>
      <c r="Q14" s="528">
        <v>221</v>
      </c>
      <c r="R14" s="528">
        <v>43</v>
      </c>
      <c r="S14" s="84">
        <v>8186784</v>
      </c>
      <c r="T14" s="24">
        <f t="shared" si="11"/>
        <v>8483900</v>
      </c>
      <c r="U14" s="84">
        <v>8416688</v>
      </c>
      <c r="V14" s="84">
        <v>67212</v>
      </c>
      <c r="W14" s="135">
        <f t="shared" si="8"/>
        <v>7.9222998856657897E-3</v>
      </c>
    </row>
    <row r="15" spans="1:220">
      <c r="A15" s="15" t="s">
        <v>27</v>
      </c>
      <c r="B15" s="528">
        <v>24</v>
      </c>
      <c r="C15" s="528">
        <v>5</v>
      </c>
      <c r="D15" s="23">
        <f t="shared" si="12"/>
        <v>29</v>
      </c>
      <c r="E15" s="82">
        <f t="shared" si="9"/>
        <v>20</v>
      </c>
      <c r="F15" s="82">
        <f t="shared" si="10"/>
        <v>17</v>
      </c>
      <c r="G15" s="85"/>
      <c r="H15" s="85"/>
      <c r="I15" s="528">
        <v>341</v>
      </c>
      <c r="J15" s="528">
        <v>122</v>
      </c>
      <c r="K15" s="23">
        <f t="shared" si="13"/>
        <v>463</v>
      </c>
      <c r="L15" s="528">
        <v>36</v>
      </c>
      <c r="M15" s="82">
        <f t="shared" si="14"/>
        <v>377</v>
      </c>
      <c r="N15" s="19" t="s">
        <v>40</v>
      </c>
      <c r="O15" s="527">
        <v>490.8</v>
      </c>
      <c r="P15" s="133">
        <f t="shared" si="7"/>
        <v>0.7681336593317033</v>
      </c>
      <c r="Q15" s="528">
        <v>155</v>
      </c>
      <c r="R15" s="528">
        <v>38</v>
      </c>
      <c r="S15" s="84">
        <v>7726751.2050000001</v>
      </c>
      <c r="T15" s="24">
        <f t="shared" si="11"/>
        <v>7731147</v>
      </c>
      <c r="U15" s="84">
        <v>7299360</v>
      </c>
      <c r="V15" s="84">
        <v>431787</v>
      </c>
      <c r="W15" s="135">
        <f t="shared" si="8"/>
        <v>5.5850315612935568E-2</v>
      </c>
    </row>
    <row r="16" spans="1:220">
      <c r="A16" s="15" t="s">
        <v>28</v>
      </c>
      <c r="B16" s="528">
        <v>24</v>
      </c>
      <c r="C16" s="528">
        <v>4</v>
      </c>
      <c r="D16" s="23">
        <f t="shared" si="12"/>
        <v>28</v>
      </c>
      <c r="E16" s="82">
        <f t="shared" si="9"/>
        <v>20</v>
      </c>
      <c r="F16" s="82">
        <f t="shared" si="10"/>
        <v>17</v>
      </c>
      <c r="G16" s="85"/>
      <c r="H16" s="85"/>
      <c r="I16" s="528">
        <v>332</v>
      </c>
      <c r="J16" s="528">
        <v>123</v>
      </c>
      <c r="K16" s="23">
        <f t="shared" si="13"/>
        <v>455</v>
      </c>
      <c r="L16" s="528">
        <v>36.9</v>
      </c>
      <c r="M16" s="82">
        <f t="shared" si="14"/>
        <v>368.9</v>
      </c>
      <c r="N16" s="19" t="s">
        <v>40</v>
      </c>
      <c r="O16" s="528">
        <v>481.3</v>
      </c>
      <c r="P16" s="133">
        <f t="shared" si="7"/>
        <v>0.76646582173280686</v>
      </c>
      <c r="Q16" s="528">
        <v>165</v>
      </c>
      <c r="R16" s="528">
        <v>28</v>
      </c>
      <c r="S16" s="84">
        <v>7486221.1749999998</v>
      </c>
      <c r="T16" s="24">
        <f t="shared" si="11"/>
        <v>6749657</v>
      </c>
      <c r="U16" s="84">
        <v>6258227</v>
      </c>
      <c r="V16" s="84">
        <v>491430</v>
      </c>
      <c r="W16" s="135">
        <f t="shared" si="8"/>
        <v>7.2808144176807796E-2</v>
      </c>
    </row>
    <row r="17" spans="1:23">
      <c r="A17" s="15" t="s">
        <v>29</v>
      </c>
      <c r="B17" s="528">
        <v>24</v>
      </c>
      <c r="C17" s="528">
        <v>2.5</v>
      </c>
      <c r="D17" s="23">
        <f t="shared" si="12"/>
        <v>26.5</v>
      </c>
      <c r="E17" s="82">
        <f t="shared" si="9"/>
        <v>18</v>
      </c>
      <c r="F17" s="82">
        <f t="shared" si="10"/>
        <v>16</v>
      </c>
      <c r="G17" s="85"/>
      <c r="H17" s="85"/>
      <c r="I17" s="528">
        <v>281</v>
      </c>
      <c r="J17" s="528">
        <v>129</v>
      </c>
      <c r="K17" s="23">
        <f t="shared" si="13"/>
        <v>410</v>
      </c>
      <c r="L17" s="528">
        <v>43</v>
      </c>
      <c r="M17" s="82">
        <f t="shared" si="14"/>
        <v>324</v>
      </c>
      <c r="N17" s="19" t="s">
        <v>40</v>
      </c>
      <c r="O17" s="528">
        <v>425</v>
      </c>
      <c r="P17" s="133">
        <f t="shared" si="7"/>
        <v>0.76235294117647057</v>
      </c>
      <c r="Q17" s="528">
        <v>148</v>
      </c>
      <c r="R17" s="528">
        <v>21</v>
      </c>
      <c r="S17" s="84">
        <v>5847011.9350000005</v>
      </c>
      <c r="T17" s="24">
        <f t="shared" si="11"/>
        <v>6258516</v>
      </c>
      <c r="U17" s="84">
        <v>5770171</v>
      </c>
      <c r="V17" s="84">
        <v>488345</v>
      </c>
      <c r="W17" s="135">
        <f t="shared" si="8"/>
        <v>7.8028880967948314E-2</v>
      </c>
    </row>
    <row r="18" spans="1:23">
      <c r="A18" s="15">
        <v>2007</v>
      </c>
      <c r="B18" s="528">
        <v>14</v>
      </c>
      <c r="C18" s="528">
        <v>4.5</v>
      </c>
      <c r="D18" s="23">
        <f t="shared" si="12"/>
        <v>18.5</v>
      </c>
      <c r="E18" s="82">
        <f t="shared" si="9"/>
        <v>25</v>
      </c>
      <c r="F18" s="82">
        <f t="shared" si="10"/>
        <v>19</v>
      </c>
      <c r="G18" s="85"/>
      <c r="H18" s="85"/>
      <c r="I18" s="528">
        <v>279</v>
      </c>
      <c r="J18" s="528">
        <v>117</v>
      </c>
      <c r="K18" s="23">
        <f t="shared" si="13"/>
        <v>396</v>
      </c>
      <c r="L18" s="528">
        <v>35.200000000000003</v>
      </c>
      <c r="M18" s="82">
        <f t="shared" si="14"/>
        <v>314.2</v>
      </c>
      <c r="N18" s="19" t="s">
        <v>40</v>
      </c>
      <c r="O18" s="528">
        <v>352</v>
      </c>
      <c r="P18" s="133">
        <f t="shared" si="7"/>
        <v>0.89261363636363633</v>
      </c>
      <c r="Q18" s="204">
        <v>141</v>
      </c>
      <c r="R18" s="204">
        <v>2</v>
      </c>
      <c r="S18" s="132">
        <v>5147817</v>
      </c>
      <c r="T18" s="24">
        <f t="shared" si="11"/>
        <v>5271704</v>
      </c>
      <c r="U18" s="132">
        <v>4427805</v>
      </c>
      <c r="V18" s="148">
        <v>843899</v>
      </c>
      <c r="W18" s="135">
        <f t="shared" si="8"/>
        <v>0.16008087707504062</v>
      </c>
    </row>
    <row r="19" spans="1:23">
      <c r="A19" s="15">
        <v>2006</v>
      </c>
      <c r="B19" s="528">
        <v>16</v>
      </c>
      <c r="C19" s="70" t="s">
        <v>40</v>
      </c>
      <c r="D19" s="23">
        <f t="shared" si="12"/>
        <v>16</v>
      </c>
      <c r="E19" s="82">
        <f t="shared" si="9"/>
        <v>21</v>
      </c>
      <c r="F19" s="82">
        <f t="shared" si="10"/>
        <v>21</v>
      </c>
      <c r="G19" s="85"/>
      <c r="H19" s="85"/>
      <c r="I19" s="528">
        <v>240</v>
      </c>
      <c r="J19" s="528">
        <v>113</v>
      </c>
      <c r="K19" s="23">
        <f t="shared" si="13"/>
        <v>353</v>
      </c>
      <c r="L19" s="528">
        <v>67.8</v>
      </c>
      <c r="M19" s="82">
        <f t="shared" si="14"/>
        <v>307.8</v>
      </c>
      <c r="N19" s="19" t="s">
        <v>40</v>
      </c>
      <c r="O19" s="528">
        <v>338</v>
      </c>
      <c r="P19" s="133">
        <f t="shared" si="7"/>
        <v>0.91065088757396451</v>
      </c>
      <c r="Q19" s="528">
        <v>130</v>
      </c>
      <c r="R19" s="528">
        <v>1</v>
      </c>
      <c r="S19" s="132">
        <v>4052361</v>
      </c>
      <c r="T19" s="24">
        <f t="shared" si="11"/>
        <v>5299198</v>
      </c>
      <c r="U19" s="132">
        <v>3378756</v>
      </c>
      <c r="V19" s="132">
        <v>1920442</v>
      </c>
      <c r="W19" s="135">
        <f t="shared" si="8"/>
        <v>0.36240238617239817</v>
      </c>
    </row>
    <row r="20" spans="1:23">
      <c r="A20" s="15">
        <v>2005</v>
      </c>
      <c r="B20" s="528">
        <v>13</v>
      </c>
      <c r="C20" s="70" t="s">
        <v>40</v>
      </c>
      <c r="D20" s="23">
        <f t="shared" si="12"/>
        <v>13</v>
      </c>
      <c r="E20" s="82">
        <f t="shared" si="9"/>
        <v>20</v>
      </c>
      <c r="F20" s="82">
        <f t="shared" si="10"/>
        <v>20</v>
      </c>
      <c r="G20" s="85"/>
      <c r="H20" s="85"/>
      <c r="I20" s="528">
        <v>194</v>
      </c>
      <c r="J20" s="528">
        <v>132</v>
      </c>
      <c r="K20" s="23">
        <f t="shared" si="13"/>
        <v>326</v>
      </c>
      <c r="L20" s="528">
        <v>39.6</v>
      </c>
      <c r="M20" s="82">
        <f t="shared" si="14"/>
        <v>233.6</v>
      </c>
      <c r="N20" s="19" t="s">
        <v>40</v>
      </c>
      <c r="O20" s="528">
        <v>264</v>
      </c>
      <c r="P20" s="133">
        <f t="shared" si="7"/>
        <v>0.88484848484848477</v>
      </c>
      <c r="Q20" s="528">
        <v>126</v>
      </c>
      <c r="R20" s="528">
        <v>5</v>
      </c>
      <c r="S20" s="132">
        <v>3544985</v>
      </c>
      <c r="T20" s="24">
        <f t="shared" si="11"/>
        <v>3478168</v>
      </c>
      <c r="U20" s="132">
        <v>3178504</v>
      </c>
      <c r="V20" s="132">
        <v>299664</v>
      </c>
      <c r="W20" s="135">
        <f t="shared" si="8"/>
        <v>8.6155700357199536E-2</v>
      </c>
    </row>
    <row r="21" spans="1:23">
      <c r="A21" s="15">
        <v>2004</v>
      </c>
      <c r="B21" s="528">
        <v>15</v>
      </c>
      <c r="C21" s="70" t="s">
        <v>40</v>
      </c>
      <c r="D21" s="23">
        <f t="shared" si="12"/>
        <v>15</v>
      </c>
      <c r="E21" s="82">
        <f t="shared" si="9"/>
        <v>18</v>
      </c>
      <c r="F21" s="82">
        <f t="shared" si="10"/>
        <v>18</v>
      </c>
      <c r="G21" s="85"/>
      <c r="H21" s="85"/>
      <c r="I21" s="528">
        <v>211</v>
      </c>
      <c r="J21" s="528">
        <v>122</v>
      </c>
      <c r="K21" s="23">
        <f t="shared" si="13"/>
        <v>333</v>
      </c>
      <c r="L21" s="528">
        <v>37</v>
      </c>
      <c r="M21" s="82">
        <f t="shared" si="14"/>
        <v>248</v>
      </c>
      <c r="N21" s="19" t="s">
        <v>40</v>
      </c>
      <c r="O21" s="528">
        <v>277</v>
      </c>
      <c r="P21" s="133">
        <f t="shared" si="7"/>
        <v>0.89530685920577613</v>
      </c>
      <c r="Q21" s="528">
        <v>97</v>
      </c>
      <c r="R21" s="528">
        <v>4</v>
      </c>
      <c r="S21" s="132">
        <v>3484003</v>
      </c>
      <c r="T21" s="24">
        <f t="shared" si="11"/>
        <v>3581681</v>
      </c>
      <c r="U21" s="132">
        <v>3240994</v>
      </c>
      <c r="V21" s="132">
        <v>340687</v>
      </c>
      <c r="W21" s="135">
        <f t="shared" si="8"/>
        <v>9.5119302919495066E-2</v>
      </c>
    </row>
    <row r="22" spans="1:23">
      <c r="A22" s="15">
        <v>2003</v>
      </c>
      <c r="B22" s="528">
        <v>14</v>
      </c>
      <c r="C22" s="70" t="s">
        <v>40</v>
      </c>
      <c r="D22" s="23">
        <f t="shared" si="12"/>
        <v>14</v>
      </c>
      <c r="E22" s="82">
        <f t="shared" si="9"/>
        <v>21</v>
      </c>
      <c r="F22" s="82">
        <f t="shared" si="10"/>
        <v>21</v>
      </c>
      <c r="G22" s="85"/>
      <c r="H22" s="85"/>
      <c r="I22" s="528">
        <v>220</v>
      </c>
      <c r="J22" s="528">
        <v>131</v>
      </c>
      <c r="K22" s="23">
        <f t="shared" si="13"/>
        <v>351</v>
      </c>
      <c r="L22" s="528">
        <v>39</v>
      </c>
      <c r="M22" s="82">
        <f t="shared" si="14"/>
        <v>259</v>
      </c>
      <c r="N22" s="19" t="s">
        <v>40</v>
      </c>
      <c r="O22" s="528">
        <v>298</v>
      </c>
      <c r="P22" s="133">
        <f t="shared" si="7"/>
        <v>0.86912751677852351</v>
      </c>
      <c r="Q22" s="528">
        <v>69</v>
      </c>
      <c r="R22" s="528">
        <v>2</v>
      </c>
      <c r="S22" s="132">
        <v>2766947</v>
      </c>
      <c r="T22" s="24">
        <f t="shared" si="11"/>
        <v>2782685</v>
      </c>
      <c r="U22" s="132">
        <v>2692031</v>
      </c>
      <c r="V22" s="132">
        <v>90654</v>
      </c>
      <c r="W22" s="135">
        <f t="shared" si="8"/>
        <v>3.257788790323015E-2</v>
      </c>
    </row>
    <row r="23" spans="1:23">
      <c r="A23" s="15">
        <v>2002</v>
      </c>
      <c r="B23" s="528">
        <v>14</v>
      </c>
      <c r="C23" s="70" t="s">
        <v>40</v>
      </c>
      <c r="D23" s="23">
        <f t="shared" si="12"/>
        <v>14</v>
      </c>
      <c r="E23" s="82">
        <f t="shared" si="9"/>
        <v>15</v>
      </c>
      <c r="F23" s="82">
        <f t="shared" si="10"/>
        <v>15</v>
      </c>
      <c r="G23" s="85"/>
      <c r="H23" s="85"/>
      <c r="I23" s="528">
        <v>136</v>
      </c>
      <c r="J23" s="528">
        <v>116</v>
      </c>
      <c r="K23" s="23">
        <f t="shared" si="13"/>
        <v>252</v>
      </c>
      <c r="L23" s="528">
        <f>ROUND(34.8, 0)</f>
        <v>35</v>
      </c>
      <c r="M23" s="82">
        <f t="shared" si="14"/>
        <v>171</v>
      </c>
      <c r="N23" s="19" t="s">
        <v>40</v>
      </c>
      <c r="O23" s="528">
        <f>ROUND(205.6, 0)</f>
        <v>206</v>
      </c>
      <c r="P23" s="133">
        <f t="shared" si="7"/>
        <v>0.83009708737864074</v>
      </c>
      <c r="Q23" s="528">
        <v>81</v>
      </c>
      <c r="R23" s="528">
        <v>3</v>
      </c>
      <c r="S23" s="132">
        <v>2601275</v>
      </c>
      <c r="T23" s="24">
        <f t="shared" si="11"/>
        <v>2601365</v>
      </c>
      <c r="U23" s="132">
        <v>2547515</v>
      </c>
      <c r="V23" s="132">
        <v>53850</v>
      </c>
      <c r="W23" s="135">
        <f t="shared" si="8"/>
        <v>2.070067060946849E-2</v>
      </c>
    </row>
    <row r="24" spans="1:23" s="12" customFormat="1"/>
    <row r="25" spans="1:23" s="12" customFormat="1"/>
    <row r="26" spans="1:23" s="12" customFormat="1"/>
    <row r="27" spans="1:23" s="12" customFormat="1"/>
    <row r="28" spans="1:23" s="12" customFormat="1"/>
    <row r="29" spans="1:23" s="12" customFormat="1"/>
    <row r="30" spans="1:23" s="12" customFormat="1"/>
    <row r="31" spans="1:23" s="12" customFormat="1"/>
    <row r="32" spans="1:23" s="12" customFormat="1"/>
    <row r="33" s="12" customFormat="1"/>
    <row r="34" s="12" customFormat="1"/>
    <row r="35" s="12" customFormat="1"/>
  </sheetData>
  <printOptions headings="1" gridLines="1"/>
  <pageMargins left="0.5" right="0.5" top="0.5" bottom="0.5" header="0" footer="0"/>
  <pageSetup paperSize="5" scale="67" orientation="landscape"/>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L35"/>
  <sheetViews>
    <sheetView topLeftCell="A10" workbookViewId="0">
      <selection activeCell="A24" sqref="A24:W24"/>
    </sheetView>
  </sheetViews>
  <sheetFormatPr defaultColWidth="8.85546875" defaultRowHeight="15"/>
  <cols>
    <col min="1" max="1" width="10.42578125" customWidth="1"/>
    <col min="2" max="2" width="8.42578125"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3" width="13.140625" bestFit="1" customWidth="1"/>
    <col min="14" max="14" width="10.42578125"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1.5703125" bestFit="1" customWidth="1"/>
    <col min="22" max="22" width="10.85546875" bestFit="1" customWidth="1"/>
    <col min="23" max="23" width="12.85546875" bestFit="1" customWidth="1"/>
  </cols>
  <sheetData>
    <row r="1" spans="1:220" s="1" customFormat="1" ht="18.75">
      <c r="A1" s="1" t="s">
        <v>46</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row>
    <row r="2" spans="1:220" s="3"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row>
    <row r="3" spans="1:220" s="64" customFormat="1">
      <c r="A3" s="105">
        <v>2022</v>
      </c>
      <c r="B3" s="66">
        <v>13</v>
      </c>
      <c r="C3" s="66">
        <v>5</v>
      </c>
      <c r="D3" s="106">
        <v>17</v>
      </c>
      <c r="E3" s="82">
        <f t="shared" ref="E3" si="0">ROUND((O3/B3), 0)</f>
        <v>24</v>
      </c>
      <c r="F3" s="82">
        <f t="shared" ref="F3" si="1">ROUND((O3/D3), 0)</f>
        <v>18</v>
      </c>
      <c r="G3" s="66">
        <v>13</v>
      </c>
      <c r="H3" s="66">
        <v>4</v>
      </c>
      <c r="I3" s="66">
        <v>242</v>
      </c>
      <c r="J3" s="66">
        <v>4</v>
      </c>
      <c r="K3" s="23">
        <f t="shared" ref="K3" si="2">SUM(I3:J3)</f>
        <v>246</v>
      </c>
      <c r="L3" s="66">
        <v>1.44</v>
      </c>
      <c r="M3" s="82">
        <f>(I3+L3)</f>
        <v>243.44</v>
      </c>
      <c r="N3" s="284" t="s">
        <v>40</v>
      </c>
      <c r="O3" s="66">
        <v>309</v>
      </c>
      <c r="P3" s="133">
        <f t="shared" ref="P3" si="3">M3/O3</f>
        <v>0.787831715210356</v>
      </c>
      <c r="Q3" s="66">
        <v>68</v>
      </c>
      <c r="R3" s="66">
        <v>13</v>
      </c>
      <c r="S3" s="20">
        <v>3717292</v>
      </c>
      <c r="T3" s="398">
        <v>3910532</v>
      </c>
      <c r="U3" s="326">
        <v>3910532</v>
      </c>
      <c r="V3" s="20">
        <v>0</v>
      </c>
      <c r="W3" s="135">
        <v>0</v>
      </c>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row>
    <row r="4" spans="1:220" s="3" customFormat="1">
      <c r="A4" s="105">
        <v>2021</v>
      </c>
      <c r="B4" s="66">
        <v>13</v>
      </c>
      <c r="C4" s="66">
        <v>4</v>
      </c>
      <c r="D4" s="23">
        <v>17</v>
      </c>
      <c r="E4" s="82">
        <f t="shared" ref="E4" si="4">ROUND((O4/B4), 0)</f>
        <v>23</v>
      </c>
      <c r="F4" s="82">
        <f t="shared" ref="F4" si="5">ROUND((O4/D4), 0)</f>
        <v>17</v>
      </c>
      <c r="G4" s="66">
        <v>13</v>
      </c>
      <c r="H4" s="66">
        <v>4</v>
      </c>
      <c r="I4" s="66">
        <v>242</v>
      </c>
      <c r="J4" s="66">
        <v>3</v>
      </c>
      <c r="K4" s="23">
        <f t="shared" ref="K4" si="6">SUM(I4:J4)</f>
        <v>245</v>
      </c>
      <c r="L4" s="66">
        <v>1.08</v>
      </c>
      <c r="M4" s="82">
        <f>(I4+L4)</f>
        <v>243.08</v>
      </c>
      <c r="N4" s="284" t="s">
        <v>40</v>
      </c>
      <c r="O4" s="66">
        <v>296</v>
      </c>
      <c r="P4" s="133">
        <f t="shared" ref="P4" si="7">M4/O4</f>
        <v>0.82121621621621621</v>
      </c>
      <c r="Q4" s="66">
        <v>71</v>
      </c>
      <c r="R4" s="66">
        <v>8</v>
      </c>
      <c r="S4" s="20">
        <v>3536862</v>
      </c>
      <c r="T4" s="24">
        <v>3819717</v>
      </c>
      <c r="U4" s="20">
        <v>3819717</v>
      </c>
      <c r="V4" s="20">
        <v>0</v>
      </c>
      <c r="W4" s="135">
        <v>0</v>
      </c>
      <c r="X4" s="371"/>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row>
    <row r="5" spans="1:220" s="3" customFormat="1">
      <c r="A5" s="105">
        <v>2020</v>
      </c>
      <c r="B5" s="66">
        <v>13</v>
      </c>
      <c r="C5" s="66">
        <v>4</v>
      </c>
      <c r="D5" s="23">
        <f>SUM(B5:C5)</f>
        <v>17</v>
      </c>
      <c r="E5" s="82">
        <f>ROUND((O5/B5), 0)</f>
        <v>22</v>
      </c>
      <c r="F5" s="82">
        <f>ROUND((O5/D5), 0)</f>
        <v>17</v>
      </c>
      <c r="G5" s="66">
        <v>13</v>
      </c>
      <c r="H5" s="66">
        <v>4</v>
      </c>
      <c r="I5" s="66">
        <v>233</v>
      </c>
      <c r="J5" s="66">
        <v>7</v>
      </c>
      <c r="K5" s="23">
        <f t="shared" ref="K5" si="8">SUM(I5:J5)</f>
        <v>240</v>
      </c>
      <c r="L5" s="66">
        <v>2.52</v>
      </c>
      <c r="M5" s="82">
        <f>(I5+L5)</f>
        <v>235.52</v>
      </c>
      <c r="N5" s="284" t="s">
        <v>40</v>
      </c>
      <c r="O5" s="66">
        <v>281</v>
      </c>
      <c r="P5" s="133">
        <f t="shared" ref="P5" si="9">M5/O5</f>
        <v>0.8381494661921709</v>
      </c>
      <c r="Q5" s="66">
        <v>62</v>
      </c>
      <c r="R5" s="66">
        <v>25</v>
      </c>
      <c r="S5" s="20">
        <v>3580512</v>
      </c>
      <c r="T5" s="24">
        <f>SUM(U5:V5)</f>
        <v>3712142</v>
      </c>
      <c r="U5" s="20">
        <v>3712142</v>
      </c>
      <c r="V5" s="20">
        <v>0</v>
      </c>
      <c r="W5" s="135">
        <f t="shared" ref="W5" si="10">V5/T5</f>
        <v>0</v>
      </c>
      <c r="X5" s="371"/>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row>
    <row r="6" spans="1:220" s="3" customFormat="1">
      <c r="A6" s="105">
        <v>2019</v>
      </c>
      <c r="B6" s="66">
        <v>13</v>
      </c>
      <c r="C6" s="66">
        <v>5.25</v>
      </c>
      <c r="D6" s="23">
        <f>SUM(B6:C6)</f>
        <v>18.25</v>
      </c>
      <c r="E6" s="82">
        <f>ROUND((O6/B6), 0)</f>
        <v>21</v>
      </c>
      <c r="F6" s="82">
        <f>ROUND((O6/D6), 0)</f>
        <v>15</v>
      </c>
      <c r="G6" s="66">
        <v>13</v>
      </c>
      <c r="H6" s="66">
        <v>4.25</v>
      </c>
      <c r="I6" s="66">
        <v>213</v>
      </c>
      <c r="J6" s="66">
        <v>7</v>
      </c>
      <c r="K6" s="23">
        <f t="shared" ref="K6" si="11">SUM(I6:J6)</f>
        <v>220</v>
      </c>
      <c r="L6" s="66">
        <v>2.52</v>
      </c>
      <c r="M6" s="82">
        <f>(I6+L6)</f>
        <v>215.52</v>
      </c>
      <c r="N6" s="284" t="s">
        <v>40</v>
      </c>
      <c r="O6" s="66">
        <v>276</v>
      </c>
      <c r="P6" s="133">
        <f t="shared" ref="P6" si="12">M6/O6</f>
        <v>0.78086956521739137</v>
      </c>
      <c r="Q6" s="66">
        <v>85</v>
      </c>
      <c r="R6" s="66">
        <v>21</v>
      </c>
      <c r="S6" s="20">
        <v>3701816.9</v>
      </c>
      <c r="T6" s="24">
        <f>SUM(U6:V6)</f>
        <v>3192602</v>
      </c>
      <c r="U6" s="20">
        <f>2910091+282511</f>
        <v>3192602</v>
      </c>
      <c r="V6" s="20">
        <v>0</v>
      </c>
      <c r="W6" s="135">
        <f t="shared" ref="W6" si="13">V6/T6</f>
        <v>0</v>
      </c>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row>
    <row r="7" spans="1:220" s="14" customFormat="1">
      <c r="A7" s="10">
        <v>2018</v>
      </c>
      <c r="B7" s="17">
        <v>12</v>
      </c>
      <c r="C7" s="17">
        <v>5.12</v>
      </c>
      <c r="D7" s="23">
        <f>SUM(B7:C7)</f>
        <v>17.12</v>
      </c>
      <c r="E7" s="82">
        <f>ROUND((O7/B7), 0)</f>
        <v>25</v>
      </c>
      <c r="F7" s="82">
        <f>ROUND((O7/D7), 0)</f>
        <v>17</v>
      </c>
      <c r="G7" s="17">
        <v>12</v>
      </c>
      <c r="H7" s="17">
        <v>4.7300000000000004</v>
      </c>
      <c r="I7" s="17">
        <v>216</v>
      </c>
      <c r="J7" s="17">
        <v>8</v>
      </c>
      <c r="K7" s="23">
        <f t="shared" ref="K7" si="14">SUM(I7:J7)</f>
        <v>224</v>
      </c>
      <c r="L7" s="17">
        <v>2.88</v>
      </c>
      <c r="M7" s="82">
        <f>(I7+L7)</f>
        <v>218.88</v>
      </c>
      <c r="N7" s="284" t="s">
        <v>40</v>
      </c>
      <c r="O7" s="17">
        <v>296</v>
      </c>
      <c r="P7" s="133">
        <f>M7/O7</f>
        <v>0.73945945945945946</v>
      </c>
      <c r="Q7" s="17">
        <v>79</v>
      </c>
      <c r="R7" s="17">
        <v>19</v>
      </c>
      <c r="S7" s="20">
        <v>3202634</v>
      </c>
      <c r="T7" s="24">
        <f>SUM(U7:V7)</f>
        <v>3167776</v>
      </c>
      <c r="U7" s="20">
        <v>2820604</v>
      </c>
      <c r="V7" s="20">
        <v>347172</v>
      </c>
      <c r="W7" s="135">
        <f>V7/T7</f>
        <v>0.10959487034436778</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14" customFormat="1">
      <c r="A8" s="10">
        <v>2017</v>
      </c>
      <c r="B8" s="17">
        <v>12</v>
      </c>
      <c r="C8" s="17">
        <v>4.0599999999999996</v>
      </c>
      <c r="D8" s="23">
        <f>B8+C8</f>
        <v>16.059999999999999</v>
      </c>
      <c r="E8" s="82">
        <f>ROUND((O8/B8), 0)</f>
        <v>26</v>
      </c>
      <c r="F8" s="82">
        <f>ROUND((O8/D8), 0)</f>
        <v>19</v>
      </c>
      <c r="G8" s="17">
        <v>12</v>
      </c>
      <c r="H8" s="17">
        <v>4.0599999999999996</v>
      </c>
      <c r="I8" s="17">
        <v>228</v>
      </c>
      <c r="J8" s="17">
        <v>5</v>
      </c>
      <c r="K8" s="23">
        <f>I8+J8</f>
        <v>233</v>
      </c>
      <c r="L8" s="17">
        <v>2</v>
      </c>
      <c r="M8" s="82">
        <f>I8+L8</f>
        <v>230</v>
      </c>
      <c r="N8" s="65" t="s">
        <v>40</v>
      </c>
      <c r="O8" s="17">
        <v>309</v>
      </c>
      <c r="P8" s="133">
        <f t="shared" ref="P8:P23" si="15">M8/O8</f>
        <v>0.74433656957928807</v>
      </c>
      <c r="Q8" s="17">
        <v>72</v>
      </c>
      <c r="R8" s="17">
        <v>27</v>
      </c>
      <c r="S8" s="20">
        <v>3540892</v>
      </c>
      <c r="T8" s="24">
        <f>SUM(U8:V8)</f>
        <v>3558670</v>
      </c>
      <c r="U8" s="20">
        <v>2659310</v>
      </c>
      <c r="V8" s="20">
        <v>899360</v>
      </c>
      <c r="W8" s="135">
        <f t="shared" ref="W8:W23" si="16">V8/T8</f>
        <v>0.25272362989543845</v>
      </c>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row>
    <row r="9" spans="1:220" s="14" customFormat="1">
      <c r="A9" s="10">
        <v>2016</v>
      </c>
      <c r="B9" s="54">
        <v>13</v>
      </c>
      <c r="C9" s="54">
        <v>4.5</v>
      </c>
      <c r="D9" s="23">
        <f>B9+C9</f>
        <v>17.5</v>
      </c>
      <c r="E9" s="82">
        <f>ROUND((O9/B9), 0)</f>
        <v>23</v>
      </c>
      <c r="F9" s="82">
        <f>ROUND((O9/D9), 0)</f>
        <v>17</v>
      </c>
      <c r="G9" s="54">
        <v>10</v>
      </c>
      <c r="H9" s="54">
        <v>4</v>
      </c>
      <c r="I9" s="54">
        <v>177</v>
      </c>
      <c r="J9" s="54">
        <v>5</v>
      </c>
      <c r="K9" s="23">
        <f>I9+J9</f>
        <v>182</v>
      </c>
      <c r="L9" s="54">
        <v>2.5</v>
      </c>
      <c r="M9" s="82">
        <f>I9+L9</f>
        <v>179.5</v>
      </c>
      <c r="N9" s="65" t="s">
        <v>40</v>
      </c>
      <c r="O9" s="54">
        <v>295</v>
      </c>
      <c r="P9" s="133">
        <f t="shared" si="15"/>
        <v>0.6084745762711864</v>
      </c>
      <c r="Q9" s="54">
        <v>78</v>
      </c>
      <c r="R9" s="54">
        <v>28</v>
      </c>
      <c r="S9" s="55">
        <v>2458601</v>
      </c>
      <c r="T9" s="24">
        <f>SUM(U9:V9)</f>
        <v>2671029</v>
      </c>
      <c r="U9" s="55">
        <v>2434178</v>
      </c>
      <c r="V9" s="55">
        <v>236851</v>
      </c>
      <c r="W9" s="135">
        <f t="shared" si="16"/>
        <v>8.8674065313405437E-2</v>
      </c>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row>
    <row r="10" spans="1:220" s="16" customFormat="1">
      <c r="A10" s="15">
        <v>2015</v>
      </c>
      <c r="B10" s="70">
        <v>11</v>
      </c>
      <c r="C10" s="70">
        <v>2.66</v>
      </c>
      <c r="D10" s="65">
        <v>13.66</v>
      </c>
      <c r="E10" s="65">
        <v>25.8</v>
      </c>
      <c r="F10" s="65">
        <v>20.8</v>
      </c>
      <c r="G10" s="83"/>
      <c r="H10" s="83"/>
      <c r="I10" s="70">
        <v>193</v>
      </c>
      <c r="J10" s="70">
        <v>2</v>
      </c>
      <c r="K10" s="65">
        <v>195</v>
      </c>
      <c r="L10" s="70">
        <v>1</v>
      </c>
      <c r="M10" s="65">
        <v>194</v>
      </c>
      <c r="N10" s="65" t="s">
        <v>40</v>
      </c>
      <c r="O10" s="70">
        <v>284</v>
      </c>
      <c r="P10" s="133">
        <f t="shared" si="15"/>
        <v>0.68309859154929575</v>
      </c>
      <c r="Q10" s="70">
        <v>65</v>
      </c>
      <c r="R10" s="70">
        <v>31</v>
      </c>
      <c r="S10" s="78">
        <v>2594656</v>
      </c>
      <c r="T10" s="79">
        <v>2848745</v>
      </c>
      <c r="U10" s="78">
        <v>2596986</v>
      </c>
      <c r="V10" s="78">
        <v>251759</v>
      </c>
      <c r="W10" s="135">
        <f t="shared" si="16"/>
        <v>8.8375407416248206E-2</v>
      </c>
    </row>
    <row r="11" spans="1:220" s="149" customFormat="1">
      <c r="A11" s="15" t="s">
        <v>47</v>
      </c>
      <c r="B11" s="70">
        <v>11</v>
      </c>
      <c r="C11" s="70">
        <v>5.3</v>
      </c>
      <c r="D11" s="65">
        <v>16.3</v>
      </c>
      <c r="E11" s="65">
        <v>25.4</v>
      </c>
      <c r="F11" s="65">
        <v>17.100000000000001</v>
      </c>
      <c r="G11" s="83"/>
      <c r="H11" s="83"/>
      <c r="I11" s="70">
        <v>184</v>
      </c>
      <c r="J11" s="70">
        <v>10</v>
      </c>
      <c r="K11" s="65">
        <v>194</v>
      </c>
      <c r="L11" s="70">
        <v>10</v>
      </c>
      <c r="M11" s="65">
        <v>194</v>
      </c>
      <c r="N11" s="65" t="s">
        <v>40</v>
      </c>
      <c r="O11" s="70">
        <v>279</v>
      </c>
      <c r="P11" s="133">
        <f t="shared" si="15"/>
        <v>0.69534050179211471</v>
      </c>
      <c r="Q11" s="70">
        <v>84</v>
      </c>
      <c r="R11" s="70">
        <v>47</v>
      </c>
      <c r="S11" s="78">
        <v>3275415</v>
      </c>
      <c r="T11" s="79">
        <v>2914112</v>
      </c>
      <c r="U11" s="78">
        <v>2642708</v>
      </c>
      <c r="V11" s="78">
        <v>271404</v>
      </c>
      <c r="W11" s="135">
        <f t="shared" si="16"/>
        <v>9.3134375068631536E-2</v>
      </c>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row>
    <row r="12" spans="1:220">
      <c r="A12" s="10" t="s">
        <v>34</v>
      </c>
      <c r="B12" s="528">
        <v>14</v>
      </c>
      <c r="C12" s="528">
        <v>7.3</v>
      </c>
      <c r="D12" s="23">
        <f>B12+C12</f>
        <v>21.3</v>
      </c>
      <c r="E12" s="82">
        <f t="shared" ref="E12:E23" si="17">ROUND((O12/B12), 0)</f>
        <v>19</v>
      </c>
      <c r="F12" s="82">
        <f t="shared" ref="F12:F23" si="18">ROUND((O12/D12), 0)</f>
        <v>13</v>
      </c>
      <c r="G12" s="85"/>
      <c r="H12" s="85"/>
      <c r="I12" s="528">
        <v>221</v>
      </c>
      <c r="J12" s="528">
        <v>12</v>
      </c>
      <c r="K12" s="23">
        <f>I12+J12</f>
        <v>233</v>
      </c>
      <c r="L12" s="528">
        <v>12</v>
      </c>
      <c r="M12" s="82">
        <f>I12+L12</f>
        <v>233</v>
      </c>
      <c r="N12" s="65" t="s">
        <v>40</v>
      </c>
      <c r="O12" s="528">
        <v>271</v>
      </c>
      <c r="P12" s="133">
        <f t="shared" si="15"/>
        <v>0.85977859778597787</v>
      </c>
      <c r="Q12" s="528">
        <v>70</v>
      </c>
      <c r="R12" s="528">
        <v>19</v>
      </c>
      <c r="S12" s="84">
        <v>2214426</v>
      </c>
      <c r="T12" s="24">
        <f t="shared" ref="T12:T23" si="19">SUM(U12:V12)</f>
        <v>2609004</v>
      </c>
      <c r="U12" s="84">
        <v>2359004</v>
      </c>
      <c r="V12" s="84">
        <v>250000</v>
      </c>
      <c r="W12" s="135">
        <f t="shared" si="16"/>
        <v>9.5822007172085596E-2</v>
      </c>
    </row>
    <row r="13" spans="1:220">
      <c r="A13" s="15" t="s">
        <v>25</v>
      </c>
      <c r="B13" s="528">
        <v>13</v>
      </c>
      <c r="C13" s="528">
        <v>7.5</v>
      </c>
      <c r="D13" s="23">
        <f>B13+C13</f>
        <v>20.5</v>
      </c>
      <c r="E13" s="82">
        <f t="shared" si="17"/>
        <v>20</v>
      </c>
      <c r="F13" s="82">
        <f t="shared" si="18"/>
        <v>13</v>
      </c>
      <c r="G13" s="85"/>
      <c r="H13" s="85"/>
      <c r="I13" s="528">
        <v>164</v>
      </c>
      <c r="J13" s="528">
        <v>4</v>
      </c>
      <c r="K13" s="23">
        <f>I13+J13</f>
        <v>168</v>
      </c>
      <c r="L13" s="528">
        <v>2.5</v>
      </c>
      <c r="M13" s="82">
        <f>I13+L13</f>
        <v>166.5</v>
      </c>
      <c r="N13" s="65" t="s">
        <v>40</v>
      </c>
      <c r="O13" s="528">
        <v>259</v>
      </c>
      <c r="P13" s="133">
        <f t="shared" si="15"/>
        <v>0.6428571428571429</v>
      </c>
      <c r="Q13" s="528">
        <v>70</v>
      </c>
      <c r="R13" s="528">
        <v>19</v>
      </c>
      <c r="S13" s="84">
        <v>2311082</v>
      </c>
      <c r="T13" s="24">
        <f t="shared" si="19"/>
        <v>2480376.8199999998</v>
      </c>
      <c r="U13" s="84">
        <v>2330376.8199999998</v>
      </c>
      <c r="V13" s="84">
        <v>150000</v>
      </c>
      <c r="W13" s="135">
        <f t="shared" si="16"/>
        <v>6.0474682229936343E-2</v>
      </c>
    </row>
    <row r="14" spans="1:220">
      <c r="A14" s="15" t="s">
        <v>26</v>
      </c>
      <c r="B14" s="528">
        <v>12</v>
      </c>
      <c r="C14" s="528">
        <v>1.83</v>
      </c>
      <c r="D14" s="23">
        <f t="shared" ref="D14:D23" si="20">SUM(B14:C14)</f>
        <v>13.83</v>
      </c>
      <c r="E14" s="82">
        <f t="shared" si="17"/>
        <v>21</v>
      </c>
      <c r="F14" s="82">
        <f t="shared" si="18"/>
        <v>18</v>
      </c>
      <c r="G14" s="85"/>
      <c r="H14" s="85"/>
      <c r="I14" s="528">
        <v>167</v>
      </c>
      <c r="J14" s="528">
        <v>5</v>
      </c>
      <c r="K14" s="23">
        <f t="shared" ref="K14:K23" si="21">SUM(I14:J14)</f>
        <v>172</v>
      </c>
      <c r="L14" s="528">
        <v>2.75</v>
      </c>
      <c r="M14" s="82">
        <f t="shared" ref="M14:M23" si="22">(I14+L14)</f>
        <v>169.75</v>
      </c>
      <c r="N14" s="65" t="s">
        <v>40</v>
      </c>
      <c r="O14" s="528">
        <v>254</v>
      </c>
      <c r="P14" s="133">
        <f t="shared" si="15"/>
        <v>0.66830708661417326</v>
      </c>
      <c r="Q14" s="528">
        <v>68</v>
      </c>
      <c r="R14" s="528">
        <v>23</v>
      </c>
      <c r="S14" s="84">
        <v>2021869</v>
      </c>
      <c r="T14" s="24">
        <f t="shared" si="19"/>
        <v>2451272.38</v>
      </c>
      <c r="U14" s="84">
        <v>2201272.38</v>
      </c>
      <c r="V14" s="84">
        <v>250000</v>
      </c>
      <c r="W14" s="135">
        <f t="shared" si="16"/>
        <v>0.10198785008135244</v>
      </c>
    </row>
    <row r="15" spans="1:220">
      <c r="A15" s="15" t="s">
        <v>27</v>
      </c>
      <c r="B15" s="528">
        <v>12</v>
      </c>
      <c r="C15" s="528">
        <v>6.83</v>
      </c>
      <c r="D15" s="23">
        <f t="shared" si="20"/>
        <v>18.829999999999998</v>
      </c>
      <c r="E15" s="82">
        <f t="shared" si="17"/>
        <v>19</v>
      </c>
      <c r="F15" s="82">
        <f t="shared" si="18"/>
        <v>12</v>
      </c>
      <c r="G15" s="85"/>
      <c r="H15" s="85"/>
      <c r="I15" s="528">
        <v>149</v>
      </c>
      <c r="J15" s="528">
        <v>10</v>
      </c>
      <c r="K15" s="23">
        <f t="shared" si="21"/>
        <v>159</v>
      </c>
      <c r="L15" s="528">
        <v>5.45</v>
      </c>
      <c r="M15" s="82">
        <f t="shared" si="22"/>
        <v>154.44999999999999</v>
      </c>
      <c r="N15" s="65" t="s">
        <v>40</v>
      </c>
      <c r="O15" s="528">
        <v>228.45</v>
      </c>
      <c r="P15" s="133">
        <f t="shared" si="15"/>
        <v>0.67607791639308379</v>
      </c>
      <c r="Q15" s="528">
        <v>71</v>
      </c>
      <c r="R15" s="528">
        <v>34</v>
      </c>
      <c r="S15" s="84">
        <v>1592382.56</v>
      </c>
      <c r="T15" s="24">
        <f t="shared" si="19"/>
        <v>1864412</v>
      </c>
      <c r="U15" s="84">
        <v>1800412</v>
      </c>
      <c r="V15" s="84">
        <v>64000</v>
      </c>
      <c r="W15" s="135">
        <f t="shared" si="16"/>
        <v>3.4327176611178213E-2</v>
      </c>
    </row>
    <row r="16" spans="1:220">
      <c r="A16" s="15" t="s">
        <v>28</v>
      </c>
      <c r="B16" s="528">
        <v>12</v>
      </c>
      <c r="C16" s="528">
        <v>2.77</v>
      </c>
      <c r="D16" s="23">
        <f t="shared" si="20"/>
        <v>14.77</v>
      </c>
      <c r="E16" s="82">
        <f t="shared" si="17"/>
        <v>19</v>
      </c>
      <c r="F16" s="82">
        <f t="shared" si="18"/>
        <v>15</v>
      </c>
      <c r="G16" s="85"/>
      <c r="H16" s="85"/>
      <c r="I16" s="528">
        <v>136</v>
      </c>
      <c r="J16" s="528">
        <v>10</v>
      </c>
      <c r="K16" s="23">
        <f t="shared" si="21"/>
        <v>146</v>
      </c>
      <c r="L16" s="528">
        <v>7</v>
      </c>
      <c r="M16" s="82">
        <f t="shared" si="22"/>
        <v>143</v>
      </c>
      <c r="N16" s="65" t="s">
        <v>40</v>
      </c>
      <c r="O16" s="528">
        <v>224.5</v>
      </c>
      <c r="P16" s="133">
        <f t="shared" si="15"/>
        <v>0.63697104677060135</v>
      </c>
      <c r="Q16" s="528">
        <v>54</v>
      </c>
      <c r="R16" s="528">
        <v>21</v>
      </c>
      <c r="S16" s="84">
        <v>1560877</v>
      </c>
      <c r="T16" s="24">
        <f t="shared" si="19"/>
        <v>1602298</v>
      </c>
      <c r="U16" s="84">
        <v>1583298</v>
      </c>
      <c r="V16" s="84">
        <v>19000</v>
      </c>
      <c r="W16" s="135">
        <f t="shared" si="16"/>
        <v>1.185796899203519E-2</v>
      </c>
    </row>
    <row r="17" spans="1:23">
      <c r="A17" s="15" t="s">
        <v>29</v>
      </c>
      <c r="B17" s="528">
        <v>11</v>
      </c>
      <c r="C17" s="528">
        <v>1.44</v>
      </c>
      <c r="D17" s="23">
        <f t="shared" si="20"/>
        <v>12.44</v>
      </c>
      <c r="E17" s="82">
        <f t="shared" si="17"/>
        <v>20</v>
      </c>
      <c r="F17" s="82">
        <f t="shared" si="18"/>
        <v>18</v>
      </c>
      <c r="G17" s="85"/>
      <c r="H17" s="85"/>
      <c r="I17" s="528">
        <v>134</v>
      </c>
      <c r="J17" s="528">
        <v>13</v>
      </c>
      <c r="K17" s="23">
        <f t="shared" si="21"/>
        <v>147</v>
      </c>
      <c r="L17" s="528">
        <v>6.5</v>
      </c>
      <c r="M17" s="82">
        <f t="shared" si="22"/>
        <v>140.5</v>
      </c>
      <c r="N17" s="65" t="s">
        <v>40</v>
      </c>
      <c r="O17" s="528">
        <v>220</v>
      </c>
      <c r="P17" s="133">
        <f t="shared" si="15"/>
        <v>0.63863636363636367</v>
      </c>
      <c r="Q17" s="528">
        <v>65</v>
      </c>
      <c r="R17" s="528">
        <v>14</v>
      </c>
      <c r="S17" s="84">
        <v>1828211</v>
      </c>
      <c r="T17" s="24">
        <f t="shared" si="19"/>
        <v>1831711</v>
      </c>
      <c r="U17" s="84">
        <v>1828211</v>
      </c>
      <c r="V17" s="84">
        <v>3500</v>
      </c>
      <c r="W17" s="135">
        <f t="shared" si="16"/>
        <v>1.9107817772563466E-3</v>
      </c>
    </row>
    <row r="18" spans="1:23">
      <c r="A18" s="15">
        <v>2007</v>
      </c>
      <c r="B18" s="528">
        <v>12</v>
      </c>
      <c r="C18" s="528">
        <v>0.88</v>
      </c>
      <c r="D18" s="23">
        <f t="shared" si="20"/>
        <v>12.88</v>
      </c>
      <c r="E18" s="82">
        <f t="shared" si="17"/>
        <v>18</v>
      </c>
      <c r="F18" s="82">
        <f t="shared" si="18"/>
        <v>17</v>
      </c>
      <c r="G18" s="85"/>
      <c r="H18" s="85"/>
      <c r="I18" s="528">
        <v>115</v>
      </c>
      <c r="J18" s="528">
        <v>9</v>
      </c>
      <c r="K18" s="23">
        <f t="shared" si="21"/>
        <v>124</v>
      </c>
      <c r="L18" s="528">
        <v>4.5</v>
      </c>
      <c r="M18" s="82">
        <f t="shared" si="22"/>
        <v>119.5</v>
      </c>
      <c r="N18" s="65" t="s">
        <v>40</v>
      </c>
      <c r="O18" s="528">
        <v>215</v>
      </c>
      <c r="P18" s="133">
        <f t="shared" si="15"/>
        <v>0.55581395348837215</v>
      </c>
      <c r="Q18" s="528">
        <v>53</v>
      </c>
      <c r="R18" s="528">
        <v>32</v>
      </c>
      <c r="S18" s="132">
        <v>1668399</v>
      </c>
      <c r="T18" s="24">
        <f t="shared" si="19"/>
        <v>1668332</v>
      </c>
      <c r="U18" s="132">
        <v>1558532</v>
      </c>
      <c r="V18" s="132">
        <v>109800</v>
      </c>
      <c r="W18" s="135">
        <f t="shared" si="16"/>
        <v>6.5814238412977746E-2</v>
      </c>
    </row>
    <row r="19" spans="1:23">
      <c r="A19" s="15">
        <v>2006</v>
      </c>
      <c r="B19" s="528">
        <v>13</v>
      </c>
      <c r="C19" s="528">
        <v>1</v>
      </c>
      <c r="D19" s="23">
        <f t="shared" si="20"/>
        <v>14</v>
      </c>
      <c r="E19" s="82">
        <f t="shared" si="17"/>
        <v>18</v>
      </c>
      <c r="F19" s="82">
        <f t="shared" si="18"/>
        <v>17</v>
      </c>
      <c r="G19" s="85"/>
      <c r="H19" s="85"/>
      <c r="I19" s="528">
        <v>136</v>
      </c>
      <c r="J19" s="528">
        <v>9</v>
      </c>
      <c r="K19" s="23">
        <f t="shared" si="21"/>
        <v>145</v>
      </c>
      <c r="L19" s="528">
        <v>3</v>
      </c>
      <c r="M19" s="82">
        <f t="shared" si="22"/>
        <v>139</v>
      </c>
      <c r="N19" s="65" t="s">
        <v>40</v>
      </c>
      <c r="O19" s="528">
        <v>237</v>
      </c>
      <c r="P19" s="133">
        <f t="shared" si="15"/>
        <v>0.5864978902953587</v>
      </c>
      <c r="Q19" s="528">
        <v>82</v>
      </c>
      <c r="R19" s="528">
        <v>37</v>
      </c>
      <c r="S19" s="132">
        <v>1565723</v>
      </c>
      <c r="T19" s="24">
        <f t="shared" si="19"/>
        <v>1603229</v>
      </c>
      <c r="U19" s="132">
        <v>1594229</v>
      </c>
      <c r="V19" s="132">
        <v>9000</v>
      </c>
      <c r="W19" s="135">
        <f t="shared" si="16"/>
        <v>5.613670910393961E-3</v>
      </c>
    </row>
    <row r="20" spans="1:23">
      <c r="A20" s="15">
        <v>2005</v>
      </c>
      <c r="B20" s="528">
        <v>13</v>
      </c>
      <c r="C20" s="528">
        <v>2</v>
      </c>
      <c r="D20" s="23">
        <f t="shared" si="20"/>
        <v>15</v>
      </c>
      <c r="E20" s="82">
        <f t="shared" si="17"/>
        <v>16</v>
      </c>
      <c r="F20" s="82">
        <f t="shared" si="18"/>
        <v>14</v>
      </c>
      <c r="G20" s="85"/>
      <c r="H20" s="85"/>
      <c r="I20" s="528">
        <v>118</v>
      </c>
      <c r="J20" s="528">
        <v>5</v>
      </c>
      <c r="K20" s="23">
        <f t="shared" si="21"/>
        <v>123</v>
      </c>
      <c r="L20" s="528">
        <v>2</v>
      </c>
      <c r="M20" s="82">
        <f t="shared" si="22"/>
        <v>120</v>
      </c>
      <c r="N20" s="65" t="s">
        <v>40</v>
      </c>
      <c r="O20" s="528">
        <v>207</v>
      </c>
      <c r="P20" s="133">
        <f t="shared" si="15"/>
        <v>0.57971014492753625</v>
      </c>
      <c r="Q20" s="528">
        <v>56</v>
      </c>
      <c r="R20" s="528">
        <v>22</v>
      </c>
      <c r="S20" s="132">
        <v>1635498.8</v>
      </c>
      <c r="T20" s="24">
        <f t="shared" si="19"/>
        <v>1669722.65</v>
      </c>
      <c r="U20" s="132">
        <v>1483138</v>
      </c>
      <c r="V20" s="132">
        <v>186584.65</v>
      </c>
      <c r="W20" s="135">
        <f t="shared" si="16"/>
        <v>0.11174589384650199</v>
      </c>
    </row>
    <row r="21" spans="1:23">
      <c r="A21" s="15">
        <v>2004</v>
      </c>
      <c r="B21" s="528">
        <v>11</v>
      </c>
      <c r="C21" s="528">
        <v>2</v>
      </c>
      <c r="D21" s="23">
        <f t="shared" si="20"/>
        <v>13</v>
      </c>
      <c r="E21" s="82">
        <f t="shared" si="17"/>
        <v>22</v>
      </c>
      <c r="F21" s="82">
        <f t="shared" si="18"/>
        <v>18</v>
      </c>
      <c r="G21" s="85"/>
      <c r="H21" s="85"/>
      <c r="I21" s="528">
        <v>132</v>
      </c>
      <c r="J21" s="528">
        <v>20</v>
      </c>
      <c r="K21" s="23">
        <f t="shared" si="21"/>
        <v>152</v>
      </c>
      <c r="L21" s="528">
        <v>10</v>
      </c>
      <c r="M21" s="82">
        <f t="shared" si="22"/>
        <v>142</v>
      </c>
      <c r="N21" s="65" t="s">
        <v>40</v>
      </c>
      <c r="O21" s="528">
        <v>240</v>
      </c>
      <c r="P21" s="133">
        <f t="shared" si="15"/>
        <v>0.59166666666666667</v>
      </c>
      <c r="Q21" s="528">
        <v>80</v>
      </c>
      <c r="R21" s="528">
        <v>26</v>
      </c>
      <c r="S21" s="132">
        <v>1413651</v>
      </c>
      <c r="T21" s="24">
        <f t="shared" si="19"/>
        <v>1397957</v>
      </c>
      <c r="U21" s="132">
        <v>1324951</v>
      </c>
      <c r="V21" s="132">
        <v>73006</v>
      </c>
      <c r="W21" s="135">
        <f t="shared" si="16"/>
        <v>5.2223351648155128E-2</v>
      </c>
    </row>
    <row r="22" spans="1:23">
      <c r="A22" s="15">
        <v>2003</v>
      </c>
      <c r="B22" s="528">
        <v>13</v>
      </c>
      <c r="C22" s="528">
        <v>1</v>
      </c>
      <c r="D22" s="23">
        <f t="shared" si="20"/>
        <v>14</v>
      </c>
      <c r="E22" s="82">
        <f t="shared" si="17"/>
        <v>14</v>
      </c>
      <c r="F22" s="82">
        <f t="shared" si="18"/>
        <v>13</v>
      </c>
      <c r="G22" s="85"/>
      <c r="H22" s="85"/>
      <c r="I22" s="528">
        <v>62</v>
      </c>
      <c r="J22" s="528">
        <v>63</v>
      </c>
      <c r="K22" s="23">
        <f t="shared" si="21"/>
        <v>125</v>
      </c>
      <c r="L22" s="528">
        <v>40</v>
      </c>
      <c r="M22" s="82">
        <f t="shared" si="22"/>
        <v>102</v>
      </c>
      <c r="N22" s="65" t="s">
        <v>40</v>
      </c>
      <c r="O22" s="528">
        <v>178</v>
      </c>
      <c r="P22" s="133">
        <f t="shared" si="15"/>
        <v>0.5730337078651685</v>
      </c>
      <c r="Q22" s="528">
        <v>43</v>
      </c>
      <c r="R22" s="528">
        <v>18</v>
      </c>
      <c r="S22" s="132">
        <v>1274603</v>
      </c>
      <c r="T22" s="24">
        <f t="shared" si="19"/>
        <v>1310663</v>
      </c>
      <c r="U22" s="132">
        <v>1234404</v>
      </c>
      <c r="V22" s="132">
        <v>76259</v>
      </c>
      <c r="W22" s="135">
        <f t="shared" si="16"/>
        <v>5.818353001496189E-2</v>
      </c>
    </row>
    <row r="23" spans="1:23">
      <c r="A23" s="15">
        <v>2002</v>
      </c>
      <c r="B23" s="528">
        <v>11</v>
      </c>
      <c r="C23" s="528">
        <f>ROUND(1.7, 0)</f>
        <v>2</v>
      </c>
      <c r="D23" s="23">
        <f t="shared" si="20"/>
        <v>13</v>
      </c>
      <c r="E23" s="82">
        <f t="shared" si="17"/>
        <v>14</v>
      </c>
      <c r="F23" s="82">
        <f t="shared" si="18"/>
        <v>12</v>
      </c>
      <c r="G23" s="85"/>
      <c r="H23" s="85"/>
      <c r="I23" s="528">
        <v>64</v>
      </c>
      <c r="J23" s="528">
        <v>64</v>
      </c>
      <c r="K23" s="23">
        <f t="shared" si="21"/>
        <v>128</v>
      </c>
      <c r="L23" s="528">
        <f>ROUND(40.75, 0)</f>
        <v>41</v>
      </c>
      <c r="M23" s="82">
        <f t="shared" si="22"/>
        <v>105</v>
      </c>
      <c r="N23" s="65" t="s">
        <v>40</v>
      </c>
      <c r="O23" s="528">
        <f>ROUND(157.68, 0)</f>
        <v>158</v>
      </c>
      <c r="P23" s="133">
        <f t="shared" si="15"/>
        <v>0.66455696202531644</v>
      </c>
      <c r="Q23" s="528">
        <v>41</v>
      </c>
      <c r="R23" s="528">
        <v>15</v>
      </c>
      <c r="S23" s="132">
        <v>1295612</v>
      </c>
      <c r="T23" s="24">
        <f t="shared" si="19"/>
        <v>1282842</v>
      </c>
      <c r="U23" s="132">
        <v>1193987</v>
      </c>
      <c r="V23" s="132">
        <v>88855</v>
      </c>
      <c r="W23" s="135">
        <f t="shared" si="16"/>
        <v>6.9264180623958366E-2</v>
      </c>
    </row>
    <row r="24" spans="1:23" s="59" customFormat="1">
      <c r="A24" s="546" t="s">
        <v>48</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3">
      <c r="A25" s="538" t="s">
        <v>49</v>
      </c>
      <c r="B25" s="538"/>
      <c r="C25" s="538"/>
      <c r="D25" s="538"/>
      <c r="E25" s="538"/>
      <c r="F25" s="538"/>
      <c r="G25" s="538"/>
      <c r="H25" s="538"/>
      <c r="I25" s="538"/>
      <c r="J25" s="538"/>
      <c r="K25" s="538"/>
      <c r="L25" s="538"/>
      <c r="M25" s="538"/>
      <c r="N25" s="538"/>
      <c r="O25" s="538"/>
      <c r="P25" s="538"/>
      <c r="Q25" s="538"/>
      <c r="R25" s="538"/>
      <c r="S25" s="538"/>
      <c r="T25" s="538"/>
      <c r="U25" s="538"/>
      <c r="V25" s="538"/>
      <c r="W25" s="538"/>
    </row>
    <row r="26" spans="1:23" s="12" customFormat="1">
      <c r="A26" s="539" t="s">
        <v>50</v>
      </c>
      <c r="B26" s="538"/>
      <c r="C26" s="538"/>
      <c r="D26" s="538"/>
      <c r="E26" s="538"/>
      <c r="F26" s="538"/>
      <c r="G26" s="538"/>
      <c r="H26" s="538"/>
      <c r="I26" s="538"/>
      <c r="J26" s="538"/>
      <c r="K26" s="538"/>
      <c r="L26" s="538"/>
      <c r="M26" s="538"/>
      <c r="N26" s="538"/>
      <c r="O26" s="538"/>
      <c r="P26" s="538"/>
      <c r="Q26" s="538"/>
      <c r="R26" s="538"/>
      <c r="S26" s="538"/>
      <c r="T26" s="538"/>
      <c r="U26" s="538"/>
      <c r="V26" s="538"/>
      <c r="W26" s="538"/>
    </row>
    <row r="27" spans="1:23" s="12" customFormat="1"/>
    <row r="28" spans="1:23" s="12" customFormat="1"/>
    <row r="29" spans="1:23" s="12" customFormat="1"/>
    <row r="30" spans="1:23" s="12" customFormat="1"/>
    <row r="31" spans="1:23" s="12" customFormat="1"/>
    <row r="32" spans="1:23" s="12" customFormat="1"/>
    <row r="33" s="12" customFormat="1"/>
    <row r="34" s="12" customFormat="1"/>
    <row r="35" s="12" customFormat="1"/>
  </sheetData>
  <mergeCells count="3">
    <mergeCell ref="A24:W24"/>
    <mergeCell ref="A25:W25"/>
    <mergeCell ref="A26:W26"/>
  </mergeCells>
  <printOptions headings="1" gridLines="1"/>
  <pageMargins left="0.5" right="0.5" top="0.5" bottom="0.5" header="0" footer="0"/>
  <pageSetup paperSize="5" scale="66" orientation="landscape" horizontalDpi="1200" verticalDpi="1200" r:id="rId1"/>
  <legacyDrawing r:id="rId2"/>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L19"/>
  <sheetViews>
    <sheetView workbookViewId="0">
      <selection activeCell="M16" sqref="M16"/>
    </sheetView>
  </sheetViews>
  <sheetFormatPr defaultColWidth="8.85546875" defaultRowHeight="15"/>
  <cols>
    <col min="1" max="1" width="9.42578125" customWidth="1"/>
    <col min="2" max="2" width="8.7109375" customWidth="1"/>
    <col min="3" max="3" width="10" customWidth="1"/>
    <col min="4" max="4" width="9.85546875" customWidth="1"/>
    <col min="5" max="5" width="11.85546875" customWidth="1"/>
    <col min="6" max="8" width="12.140625" customWidth="1"/>
    <col min="10" max="11" width="11.85546875" bestFit="1" customWidth="1"/>
    <col min="12" max="12" width="12.28515625" bestFit="1" customWidth="1"/>
    <col min="13" max="13" width="13.140625" bestFit="1" customWidth="1"/>
    <col min="14" max="14" width="11.7109375" customWidth="1"/>
    <col min="15" max="15" width="13.42578125" bestFit="1" customWidth="1"/>
    <col min="16" max="16" width="14.28515625" customWidth="1"/>
    <col min="17" max="17" width="12.42578125" bestFit="1" customWidth="1"/>
    <col min="18" max="18" width="9" bestFit="1" customWidth="1"/>
    <col min="19" max="19" width="13" customWidth="1"/>
    <col min="20" max="21" width="13.28515625" bestFit="1" customWidth="1"/>
    <col min="22" max="22" width="11.7109375" bestFit="1" customWidth="1"/>
    <col min="23" max="23" width="12.85546875" bestFit="1" customWidth="1"/>
  </cols>
  <sheetData>
    <row r="1" spans="1:220" s="1" customFormat="1" ht="18.75">
      <c r="A1" s="1" t="s">
        <v>222</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row>
    <row r="2" spans="1:220" s="3"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row>
    <row r="3" spans="1:220" s="14" customFormat="1">
      <c r="A3" s="105">
        <v>2022</v>
      </c>
      <c r="B3" s="418">
        <v>20</v>
      </c>
      <c r="C3" s="418">
        <v>2.1</v>
      </c>
      <c r="D3" s="419">
        <f>SUM(B3:C3)</f>
        <v>22.1</v>
      </c>
      <c r="E3" s="19">
        <v>10</v>
      </c>
      <c r="F3" s="19">
        <v>9</v>
      </c>
      <c r="G3" s="418">
        <v>20</v>
      </c>
      <c r="H3" s="418">
        <v>2.1</v>
      </c>
      <c r="I3" s="418">
        <v>15</v>
      </c>
      <c r="J3" s="418">
        <v>35</v>
      </c>
      <c r="K3" s="19">
        <f>SUM(I3:J3)</f>
        <v>50</v>
      </c>
      <c r="L3" s="418">
        <v>17.5</v>
      </c>
      <c r="M3" s="19">
        <f>SUM(I3, L3)</f>
        <v>32.5</v>
      </c>
      <c r="N3" s="418">
        <v>0</v>
      </c>
      <c r="O3" s="418">
        <v>196.5</v>
      </c>
      <c r="P3" s="385">
        <f>M3/O3</f>
        <v>0.16539440203562342</v>
      </c>
      <c r="Q3" s="418">
        <v>28</v>
      </c>
      <c r="R3" s="418">
        <v>122</v>
      </c>
      <c r="S3" s="523">
        <v>3150328</v>
      </c>
      <c r="T3" s="524">
        <f>SUM(U3:V3)</f>
        <v>9088000</v>
      </c>
      <c r="U3" s="523">
        <v>7900000</v>
      </c>
      <c r="V3" s="523">
        <v>1188000</v>
      </c>
      <c r="W3" s="385">
        <f>V3/T3</f>
        <v>0.1307218309859155</v>
      </c>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row>
    <row r="4" spans="1:220" s="14" customFormat="1">
      <c r="A4" s="105">
        <v>2021</v>
      </c>
      <c r="B4" s="418">
        <v>23</v>
      </c>
      <c r="C4" s="418">
        <v>5.93</v>
      </c>
      <c r="D4" s="419">
        <v>28.93</v>
      </c>
      <c r="E4" s="19">
        <f>ROUND((O4/B4), 0)</f>
        <v>9</v>
      </c>
      <c r="F4" s="19">
        <f>ROUND((O4/D4), 0)</f>
        <v>7</v>
      </c>
      <c r="G4" s="418">
        <v>24</v>
      </c>
      <c r="H4" s="418">
        <v>3</v>
      </c>
      <c r="I4" s="418">
        <v>23</v>
      </c>
      <c r="J4" s="418">
        <v>30</v>
      </c>
      <c r="K4" s="19">
        <v>52</v>
      </c>
      <c r="L4" s="418">
        <v>15</v>
      </c>
      <c r="M4" s="19">
        <f>SUM(I4,L4)</f>
        <v>38</v>
      </c>
      <c r="N4" s="418">
        <v>0</v>
      </c>
      <c r="O4" s="418">
        <v>213</v>
      </c>
      <c r="P4" s="385">
        <f>M4/O4</f>
        <v>0.17840375586854459</v>
      </c>
      <c r="Q4" s="418">
        <v>24</v>
      </c>
      <c r="R4" s="418">
        <v>161</v>
      </c>
      <c r="S4" s="420">
        <v>3088393.74</v>
      </c>
      <c r="T4" s="421">
        <f>SUM(U4+V4)</f>
        <v>8759460</v>
      </c>
      <c r="U4" s="422">
        <v>8002800</v>
      </c>
      <c r="V4" s="422">
        <v>756660</v>
      </c>
      <c r="W4" s="385">
        <f>V4/T4</f>
        <v>8.6382037248871502E-2</v>
      </c>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row>
    <row r="5" spans="1:220" s="14" customFormat="1">
      <c r="A5" s="105">
        <v>2020</v>
      </c>
      <c r="B5" s="418">
        <v>20</v>
      </c>
      <c r="C5" s="418">
        <v>2.4</v>
      </c>
      <c r="D5" s="419">
        <f>SUM(B5:C5)</f>
        <v>22.4</v>
      </c>
      <c r="E5" s="19">
        <f>ROUND((O5/B5), 0)</f>
        <v>10</v>
      </c>
      <c r="F5" s="19">
        <f>ROUND((O5/D5), 0)</f>
        <v>9</v>
      </c>
      <c r="G5" s="418">
        <v>20</v>
      </c>
      <c r="H5" s="418">
        <v>2.4</v>
      </c>
      <c r="I5" s="418">
        <v>23</v>
      </c>
      <c r="J5" s="418">
        <v>30</v>
      </c>
      <c r="K5" s="19">
        <f>SUM(I5:J5)</f>
        <v>53</v>
      </c>
      <c r="L5" s="418">
        <f>J5/2</f>
        <v>15</v>
      </c>
      <c r="M5" s="19">
        <f>SUM(I5,L5)</f>
        <v>38</v>
      </c>
      <c r="N5" s="418">
        <v>0</v>
      </c>
      <c r="O5" s="418">
        <v>205</v>
      </c>
      <c r="P5" s="385">
        <f>M5/O5</f>
        <v>0.18536585365853658</v>
      </c>
      <c r="Q5" s="418">
        <v>21</v>
      </c>
      <c r="R5" s="418">
        <v>136</v>
      </c>
      <c r="S5" s="420" t="s">
        <v>223</v>
      </c>
      <c r="T5" s="421">
        <f xml:space="preserve"> (U5+V5)</f>
        <v>9122770</v>
      </c>
      <c r="U5" s="422">
        <v>8199786</v>
      </c>
      <c r="V5" s="422">
        <v>922984</v>
      </c>
      <c r="W5" s="385">
        <f>V5/T5</f>
        <v>0.10117365668541463</v>
      </c>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row>
    <row r="6" spans="1:220" s="16" customFormat="1">
      <c r="A6" s="105">
        <v>2019</v>
      </c>
      <c r="B6" s="327">
        <v>19</v>
      </c>
      <c r="C6" s="327">
        <v>0.6</v>
      </c>
      <c r="D6" s="65">
        <f>SUM(B6:C6)</f>
        <v>19.600000000000001</v>
      </c>
      <c r="E6" s="19">
        <f>ROUND((O6/B6), 0)</f>
        <v>10</v>
      </c>
      <c r="F6" s="19">
        <f>ROUND((O6/D6), 0)</f>
        <v>9</v>
      </c>
      <c r="G6" s="327">
        <v>19</v>
      </c>
      <c r="H6" s="327">
        <v>5</v>
      </c>
      <c r="I6" s="327">
        <v>13</v>
      </c>
      <c r="J6" s="327">
        <v>33</v>
      </c>
      <c r="K6" s="19">
        <f>SUM(I6:J6)</f>
        <v>46</v>
      </c>
      <c r="L6" s="386">
        <f t="shared" ref="L6" si="0">J6/2</f>
        <v>16.5</v>
      </c>
      <c r="M6" s="19">
        <f>SUM(I6,L6)</f>
        <v>29.5</v>
      </c>
      <c r="N6" s="327">
        <v>0</v>
      </c>
      <c r="O6" s="327">
        <v>184</v>
      </c>
      <c r="P6" s="385">
        <f>M6/O6</f>
        <v>0.16032608695652173</v>
      </c>
      <c r="Q6" s="327">
        <v>21</v>
      </c>
      <c r="R6" s="327">
        <v>139</v>
      </c>
      <c r="S6" s="345" t="s">
        <v>224</v>
      </c>
      <c r="T6" s="111">
        <f>SUM(U6+V6)</f>
        <v>6612394</v>
      </c>
      <c r="U6" s="345">
        <v>5609224</v>
      </c>
      <c r="V6" s="345">
        <v>1003170</v>
      </c>
      <c r="W6" s="385">
        <f>V6/T6</f>
        <v>0.15171056050199067</v>
      </c>
    </row>
    <row r="7" spans="1:220" s="14" customFormat="1">
      <c r="A7" s="10">
        <v>2018</v>
      </c>
      <c r="B7" s="17">
        <v>19</v>
      </c>
      <c r="C7" s="17">
        <v>0.6</v>
      </c>
      <c r="D7" s="23">
        <f>SUM(B7:C7)</f>
        <v>19.600000000000001</v>
      </c>
      <c r="E7" s="82">
        <f>ROUND((O7/B7), 0)</f>
        <v>9</v>
      </c>
      <c r="F7" s="82">
        <f>ROUND((O7/D7), 0)</f>
        <v>9</v>
      </c>
      <c r="G7" s="17">
        <v>19</v>
      </c>
      <c r="H7" s="17">
        <v>5</v>
      </c>
      <c r="I7" s="17">
        <v>11</v>
      </c>
      <c r="J7" s="17">
        <v>43</v>
      </c>
      <c r="K7" s="23">
        <f t="shared" ref="K7" si="1">SUM(I7:J7)</f>
        <v>54</v>
      </c>
      <c r="L7" s="17">
        <v>22</v>
      </c>
      <c r="M7" s="82">
        <f>(I7+L7)</f>
        <v>33</v>
      </c>
      <c r="N7" s="17">
        <v>0</v>
      </c>
      <c r="O7" s="17">
        <v>179</v>
      </c>
      <c r="P7" s="133">
        <f t="shared" ref="P7" si="2">M7/O7</f>
        <v>0.18435754189944134</v>
      </c>
      <c r="Q7" s="17">
        <v>21</v>
      </c>
      <c r="R7" s="17">
        <v>121</v>
      </c>
      <c r="S7" s="20" t="s">
        <v>225</v>
      </c>
      <c r="T7" s="24">
        <f>SUM(U7:V7)</f>
        <v>6230540</v>
      </c>
      <c r="U7" s="20">
        <v>4732557</v>
      </c>
      <c r="V7" s="20">
        <v>1497983</v>
      </c>
      <c r="W7" s="135">
        <f t="shared" ref="W7" si="3">V7/T7</f>
        <v>0.24042586998879711</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19</v>
      </c>
      <c r="C8" s="17">
        <v>0.6</v>
      </c>
      <c r="D8" s="27">
        <f>SUM(B8:C8)</f>
        <v>19.600000000000001</v>
      </c>
      <c r="E8" s="27">
        <f>ROUND((O8/B8), 0)</f>
        <v>9</v>
      </c>
      <c r="F8" s="27">
        <f>ROUND((O8/D8), 0)</f>
        <v>9</v>
      </c>
      <c r="G8" s="17">
        <v>3</v>
      </c>
      <c r="H8" s="17">
        <v>1</v>
      </c>
      <c r="I8" s="17">
        <v>15</v>
      </c>
      <c r="J8" s="17">
        <v>35</v>
      </c>
      <c r="K8" s="27">
        <f>SUM(I8:J8)</f>
        <v>50</v>
      </c>
      <c r="L8" s="17">
        <f>J8/2</f>
        <v>17.5</v>
      </c>
      <c r="M8" s="29">
        <f>(I8+L8)</f>
        <v>32.5</v>
      </c>
      <c r="N8" s="255">
        <v>0</v>
      </c>
      <c r="O8" s="255">
        <v>177.5</v>
      </c>
      <c r="P8" s="133">
        <f>M8/O8</f>
        <v>0.18309859154929578</v>
      </c>
      <c r="Q8" s="17">
        <v>22</v>
      </c>
      <c r="R8" s="17">
        <v>118</v>
      </c>
      <c r="S8" s="223">
        <v>3122463</v>
      </c>
      <c r="T8" s="28">
        <f>SUM(U8:V8)</f>
        <v>6078974</v>
      </c>
      <c r="U8" s="252">
        <v>4528213</v>
      </c>
      <c r="V8" s="20">
        <v>1550761</v>
      </c>
      <c r="W8" s="135">
        <f>V8/T8</f>
        <v>0.25510242353397133</v>
      </c>
    </row>
    <row r="9" spans="1:220" s="12" customFormat="1" ht="30" customHeight="1">
      <c r="A9" s="575" t="s">
        <v>226</v>
      </c>
      <c r="B9" s="567"/>
      <c r="C9" s="567"/>
      <c r="D9" s="567"/>
      <c r="E9" s="567"/>
      <c r="F9" s="567"/>
      <c r="G9" s="567"/>
      <c r="H9" s="538"/>
      <c r="I9" s="538"/>
      <c r="J9" s="538"/>
      <c r="K9" s="538"/>
      <c r="L9" s="538"/>
      <c r="M9" s="538"/>
      <c r="N9" s="538"/>
      <c r="O9" s="538"/>
      <c r="P9" s="538"/>
      <c r="Q9" s="538"/>
      <c r="R9" s="538"/>
      <c r="S9" s="538"/>
      <c r="T9" s="538"/>
      <c r="U9" s="538"/>
      <c r="V9" s="538"/>
      <c r="W9" s="538"/>
    </row>
    <row r="10" spans="1:220" s="12" customFormat="1">
      <c r="A10" s="539" t="s">
        <v>227</v>
      </c>
      <c r="B10" s="538"/>
      <c r="C10" s="538"/>
      <c r="D10" s="538"/>
      <c r="E10" s="538"/>
      <c r="F10" s="538"/>
      <c r="G10" s="538"/>
      <c r="H10" s="538"/>
      <c r="I10" s="538"/>
      <c r="J10" s="538"/>
      <c r="K10" s="538"/>
      <c r="L10" s="538"/>
      <c r="M10" s="538"/>
      <c r="N10" s="538"/>
      <c r="O10" s="538"/>
      <c r="P10" s="538"/>
      <c r="Q10" s="538"/>
      <c r="R10" s="538"/>
      <c r="S10" s="538"/>
      <c r="T10" s="538"/>
      <c r="U10" s="538"/>
      <c r="V10" s="538"/>
      <c r="W10" s="538"/>
    </row>
    <row r="11" spans="1:220" s="12" customFormat="1" ht="14.45" customHeight="1">
      <c r="A11" s="538"/>
      <c r="B11" s="538"/>
      <c r="C11" s="538"/>
      <c r="D11" s="538"/>
      <c r="E11" s="538"/>
      <c r="F11" s="538"/>
      <c r="G11" s="538"/>
      <c r="H11" s="538"/>
      <c r="I11" s="538"/>
      <c r="J11" s="538"/>
      <c r="K11" s="538"/>
      <c r="L11" s="538"/>
      <c r="M11" s="538"/>
      <c r="N11" s="538"/>
      <c r="O11" s="538"/>
      <c r="P11" s="538"/>
      <c r="Q11" s="538"/>
      <c r="R11" s="538"/>
      <c r="S11" s="538"/>
      <c r="T11" s="538"/>
      <c r="U11" s="538"/>
      <c r="V11" s="538"/>
      <c r="W11" s="538"/>
    </row>
    <row r="12" spans="1:220">
      <c r="A12" t="s">
        <v>228</v>
      </c>
    </row>
    <row r="13" spans="1:220" s="12" customFormat="1">
      <c r="A13" s="12" t="s">
        <v>229</v>
      </c>
      <c r="G13"/>
      <c r="H13"/>
      <c r="U13" s="30"/>
    </row>
    <row r="14" spans="1:220" s="12" customFormat="1">
      <c r="G14"/>
      <c r="H14"/>
    </row>
    <row r="15" spans="1:220" s="12" customFormat="1">
      <c r="G15"/>
      <c r="H15"/>
    </row>
    <row r="16" spans="1:220" s="12" customFormat="1">
      <c r="G16"/>
      <c r="H16"/>
    </row>
    <row r="17" spans="7:8" s="12" customFormat="1">
      <c r="G17"/>
      <c r="H17"/>
    </row>
    <row r="18" spans="7:8" s="12" customFormat="1">
      <c r="G18"/>
      <c r="H18"/>
    </row>
    <row r="19" spans="7:8" s="12" customFormat="1">
      <c r="G19"/>
      <c r="H19"/>
    </row>
  </sheetData>
  <mergeCells count="2">
    <mergeCell ref="A9:W9"/>
    <mergeCell ref="A10:W11"/>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HL33"/>
  <sheetViews>
    <sheetView workbookViewId="0">
      <selection activeCell="I25" sqref="I25"/>
    </sheetView>
  </sheetViews>
  <sheetFormatPr defaultColWidth="8.85546875" defaultRowHeight="15"/>
  <cols>
    <col min="1" max="1" width="11"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28515625" bestFit="1" customWidth="1"/>
    <col min="22" max="22" width="10.85546875" bestFit="1" customWidth="1"/>
    <col min="23" max="23" width="12.85546875" bestFit="1" customWidth="1"/>
  </cols>
  <sheetData>
    <row r="1" spans="1:220" s="7" customFormat="1" ht="18.75">
      <c r="A1" s="1" t="s">
        <v>230</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6" customFormat="1">
      <c r="A3" s="105">
        <v>2022</v>
      </c>
      <c r="B3" s="17">
        <v>8</v>
      </c>
      <c r="C3" s="17">
        <v>1.2</v>
      </c>
      <c r="D3" s="23">
        <f>SUM(B3:C3)</f>
        <v>9.1999999999999993</v>
      </c>
      <c r="E3" s="82">
        <f>ROUND((O3/B3), 0)</f>
        <v>29</v>
      </c>
      <c r="F3" s="82">
        <f>ROUND((O3/D3), 0)</f>
        <v>25</v>
      </c>
      <c r="G3" s="17">
        <v>8</v>
      </c>
      <c r="H3" s="17">
        <v>1.2</v>
      </c>
      <c r="I3" s="17">
        <v>20</v>
      </c>
      <c r="J3" s="17">
        <v>346</v>
      </c>
      <c r="K3" s="23">
        <f>SUM(I3:J3)</f>
        <v>366</v>
      </c>
      <c r="L3" s="17">
        <v>212.6</v>
      </c>
      <c r="M3" s="82">
        <f>(I3+L3)</f>
        <v>232.6</v>
      </c>
      <c r="N3" s="17">
        <v>62</v>
      </c>
      <c r="O3" s="255">
        <v>228.6</v>
      </c>
      <c r="P3" s="133">
        <f>M3/O3</f>
        <v>1.0174978127734033</v>
      </c>
      <c r="Q3" s="17">
        <v>121</v>
      </c>
      <c r="R3" s="17">
        <v>0</v>
      </c>
      <c r="S3" s="17">
        <v>755538</v>
      </c>
      <c r="T3" s="24">
        <f>SUM(U3:V3)</f>
        <v>755538</v>
      </c>
      <c r="U3" s="20">
        <v>755538</v>
      </c>
      <c r="V3" s="20">
        <v>0</v>
      </c>
      <c r="W3" s="135">
        <f>V3/(U3+V3)</f>
        <v>0</v>
      </c>
    </row>
    <row r="4" spans="1:220" s="6" customFormat="1">
      <c r="A4" s="105">
        <v>2021</v>
      </c>
      <c r="B4" s="17">
        <v>8</v>
      </c>
      <c r="C4" s="17">
        <v>1.67</v>
      </c>
      <c r="D4" s="23">
        <v>9.1669999999999998</v>
      </c>
      <c r="E4" s="82">
        <v>26</v>
      </c>
      <c r="F4" s="82">
        <v>23</v>
      </c>
      <c r="G4" s="17">
        <v>8</v>
      </c>
      <c r="H4" s="17">
        <v>1.67</v>
      </c>
      <c r="I4" s="17">
        <v>32</v>
      </c>
      <c r="J4" s="17">
        <v>361</v>
      </c>
      <c r="K4" s="23">
        <v>393</v>
      </c>
      <c r="L4" s="17">
        <v>180</v>
      </c>
      <c r="M4" s="82">
        <v>212</v>
      </c>
      <c r="N4" s="17">
        <v>82</v>
      </c>
      <c r="O4" s="255">
        <v>212</v>
      </c>
      <c r="P4" s="133">
        <v>1</v>
      </c>
      <c r="Q4" s="17">
        <v>127</v>
      </c>
      <c r="R4" s="17">
        <v>0</v>
      </c>
      <c r="S4" s="17">
        <v>912438</v>
      </c>
      <c r="T4" s="24">
        <v>912438</v>
      </c>
      <c r="U4" s="20">
        <v>912438</v>
      </c>
      <c r="V4" s="20">
        <v>0</v>
      </c>
      <c r="W4" s="135">
        <v>0</v>
      </c>
    </row>
    <row r="5" spans="1:220" s="6" customFormat="1">
      <c r="A5" s="105">
        <v>2020</v>
      </c>
      <c r="B5" s="17">
        <v>8</v>
      </c>
      <c r="C5" s="17">
        <v>1.67</v>
      </c>
      <c r="D5" s="23">
        <v>9.67</v>
      </c>
      <c r="E5" s="82">
        <f>ROUND((M5/B5),0)</f>
        <v>27</v>
      </c>
      <c r="F5" s="82">
        <f>ROUND((M5/D5), 0)</f>
        <v>22</v>
      </c>
      <c r="G5" s="17">
        <v>8</v>
      </c>
      <c r="H5" s="17">
        <v>1.67</v>
      </c>
      <c r="I5" s="17">
        <v>32</v>
      </c>
      <c r="J5" s="17">
        <v>340</v>
      </c>
      <c r="K5" s="23">
        <v>372</v>
      </c>
      <c r="L5" s="17">
        <v>184</v>
      </c>
      <c r="M5" s="82">
        <v>215</v>
      </c>
      <c r="N5" s="17">
        <v>47</v>
      </c>
      <c r="O5" s="255">
        <v>215</v>
      </c>
      <c r="P5" s="133">
        <v>1</v>
      </c>
      <c r="Q5" s="17">
        <v>93</v>
      </c>
      <c r="R5" s="17">
        <v>0</v>
      </c>
      <c r="S5" s="17">
        <v>654943</v>
      </c>
      <c r="T5" s="24">
        <v>720131</v>
      </c>
      <c r="U5" s="20">
        <v>720131</v>
      </c>
      <c r="V5" s="20">
        <v>0</v>
      </c>
      <c r="W5" s="135">
        <v>0</v>
      </c>
    </row>
    <row r="6" spans="1:220" s="6" customFormat="1">
      <c r="A6" s="105">
        <v>2019</v>
      </c>
      <c r="B6" s="17">
        <v>8</v>
      </c>
      <c r="C6" s="17">
        <v>2</v>
      </c>
      <c r="D6" s="23">
        <f>SUM(B6:C6)</f>
        <v>10</v>
      </c>
      <c r="E6" s="82">
        <f>ROUND((O6/B6), 0)</f>
        <v>26</v>
      </c>
      <c r="F6" s="82">
        <f>ROUND((O6/D6), 0)</f>
        <v>21</v>
      </c>
      <c r="G6" s="17">
        <v>8</v>
      </c>
      <c r="H6" s="17">
        <v>2</v>
      </c>
      <c r="I6" s="17">
        <v>27</v>
      </c>
      <c r="J6" s="17">
        <v>280</v>
      </c>
      <c r="K6" s="23">
        <f>SUM(I6:J6)</f>
        <v>307</v>
      </c>
      <c r="L6" s="17">
        <v>181</v>
      </c>
      <c r="M6" s="82">
        <f>(I6+L6)</f>
        <v>208</v>
      </c>
      <c r="N6" s="17">
        <v>49</v>
      </c>
      <c r="O6" s="255">
        <v>208</v>
      </c>
      <c r="P6" s="133">
        <v>1</v>
      </c>
      <c r="Q6" s="17">
        <v>79</v>
      </c>
      <c r="R6" s="17">
        <v>0</v>
      </c>
      <c r="S6" s="17">
        <v>729771</v>
      </c>
      <c r="T6" s="24">
        <f>SUM(U6:V6)</f>
        <v>734046</v>
      </c>
      <c r="U6" s="20">
        <v>734046</v>
      </c>
      <c r="V6" s="20">
        <v>0</v>
      </c>
      <c r="W6" s="135">
        <f>V6/T6</f>
        <v>0</v>
      </c>
    </row>
    <row r="7" spans="1:220" s="14" customFormat="1">
      <c r="A7" s="10">
        <v>2018</v>
      </c>
      <c r="B7" s="17">
        <v>7</v>
      </c>
      <c r="C7" s="17">
        <v>2.66</v>
      </c>
      <c r="D7" s="23">
        <f>SUM(B7:C7)</f>
        <v>9.66</v>
      </c>
      <c r="E7" s="82">
        <f>ROUND((O7/B7), 0)</f>
        <v>22</v>
      </c>
      <c r="F7" s="82">
        <f>ROUND((O7/D7), 0)</f>
        <v>16</v>
      </c>
      <c r="G7" s="17">
        <v>7</v>
      </c>
      <c r="H7" s="17">
        <v>2.66</v>
      </c>
      <c r="I7" s="17">
        <v>24</v>
      </c>
      <c r="J7" s="17">
        <v>244</v>
      </c>
      <c r="K7" s="23">
        <f>SUM(I7:J7)</f>
        <v>268</v>
      </c>
      <c r="L7" s="17">
        <v>130</v>
      </c>
      <c r="M7" s="82">
        <f>(I7+L7)</f>
        <v>154</v>
      </c>
      <c r="N7" s="17">
        <v>43</v>
      </c>
      <c r="O7" s="17">
        <v>154</v>
      </c>
      <c r="P7" s="133">
        <f>M7/O7</f>
        <v>1</v>
      </c>
      <c r="Q7" s="17">
        <v>88</v>
      </c>
      <c r="R7" s="17">
        <v>0</v>
      </c>
      <c r="S7" s="20">
        <v>677335</v>
      </c>
      <c r="T7" s="24">
        <f>SUM(U7:V7)</f>
        <v>688989</v>
      </c>
      <c r="U7" s="20">
        <v>688989</v>
      </c>
      <c r="V7" s="20">
        <v>0</v>
      </c>
      <c r="W7" s="135">
        <f>V7/T7</f>
        <v>0</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7</v>
      </c>
      <c r="C8" s="17">
        <v>1</v>
      </c>
      <c r="D8" s="27">
        <f>SUM(B8:C8)</f>
        <v>8</v>
      </c>
      <c r="E8" s="27">
        <f>ROUND((O8/B8), 0)</f>
        <v>19</v>
      </c>
      <c r="F8" s="27">
        <f>ROUND((O8/D8), 0)</f>
        <v>17</v>
      </c>
      <c r="G8" s="17">
        <v>7</v>
      </c>
      <c r="H8" s="17">
        <v>1</v>
      </c>
      <c r="I8" s="17">
        <v>13</v>
      </c>
      <c r="J8" s="17">
        <v>204</v>
      </c>
      <c r="K8" s="27">
        <f>SUM(I8:J8)</f>
        <v>217</v>
      </c>
      <c r="L8" s="17">
        <v>119</v>
      </c>
      <c r="M8" s="29">
        <f>(I8+L8)</f>
        <v>132</v>
      </c>
      <c r="N8" s="255">
        <v>46</v>
      </c>
      <c r="O8" s="255">
        <v>132</v>
      </c>
      <c r="P8" s="133">
        <f t="shared" ref="P8:P23" si="0">M8/O8</f>
        <v>1</v>
      </c>
      <c r="Q8" s="17">
        <v>69</v>
      </c>
      <c r="R8" s="17">
        <v>0</v>
      </c>
      <c r="S8" s="223">
        <v>693719</v>
      </c>
      <c r="T8" s="28">
        <f>SUM(U8:V8)</f>
        <v>693719</v>
      </c>
      <c r="U8" s="252">
        <v>693719</v>
      </c>
      <c r="V8" s="20">
        <v>0</v>
      </c>
      <c r="W8" s="135">
        <f t="shared" ref="W8:W23" si="1">V8/T8</f>
        <v>0</v>
      </c>
    </row>
    <row r="9" spans="1:220" s="9" customFormat="1">
      <c r="A9" s="10">
        <v>2016</v>
      </c>
      <c r="B9" s="54">
        <v>7</v>
      </c>
      <c r="C9" s="54">
        <v>0.33</v>
      </c>
      <c r="D9" s="65">
        <f>B9+C9</f>
        <v>7.33</v>
      </c>
      <c r="E9" s="13">
        <f>ROUND((O9/B9), 0)</f>
        <v>20</v>
      </c>
      <c r="F9" s="13">
        <f>ROUND((O9/D9), 0)</f>
        <v>19</v>
      </c>
      <c r="G9" s="66">
        <v>7</v>
      </c>
      <c r="H9" s="66">
        <v>0.33</v>
      </c>
      <c r="I9" s="54">
        <v>18</v>
      </c>
      <c r="J9" s="54">
        <v>221</v>
      </c>
      <c r="K9" s="65">
        <f>I9+J9</f>
        <v>239</v>
      </c>
      <c r="L9" s="54">
        <v>123</v>
      </c>
      <c r="M9" s="13">
        <f>I9+L9</f>
        <v>141</v>
      </c>
      <c r="N9" s="54">
        <v>40</v>
      </c>
      <c r="O9" s="54">
        <v>141</v>
      </c>
      <c r="P9" s="133">
        <f t="shared" si="0"/>
        <v>1</v>
      </c>
      <c r="Q9" s="54">
        <v>60</v>
      </c>
      <c r="R9" s="54">
        <v>0</v>
      </c>
      <c r="S9" s="61">
        <v>659816</v>
      </c>
      <c r="T9" s="68">
        <f>SUM(U9:V9)</f>
        <v>652720</v>
      </c>
      <c r="U9" s="61">
        <v>652720</v>
      </c>
      <c r="V9" s="54">
        <v>0</v>
      </c>
      <c r="W9" s="135">
        <f t="shared" si="1"/>
        <v>0</v>
      </c>
    </row>
    <row r="10" spans="1:220" s="16" customFormat="1">
      <c r="A10" s="57">
        <v>2015</v>
      </c>
      <c r="B10" s="70">
        <v>7</v>
      </c>
      <c r="C10" s="70">
        <v>0.67</v>
      </c>
      <c r="D10" s="65">
        <v>7.67</v>
      </c>
      <c r="E10" s="65">
        <v>11.6</v>
      </c>
      <c r="F10" s="65">
        <v>10.6</v>
      </c>
      <c r="G10" s="83"/>
      <c r="H10" s="83"/>
      <c r="I10" s="70">
        <v>15</v>
      </c>
      <c r="J10" s="70">
        <v>199</v>
      </c>
      <c r="K10" s="65">
        <v>214</v>
      </c>
      <c r="L10" s="70">
        <v>66</v>
      </c>
      <c r="M10" s="65">
        <v>81</v>
      </c>
      <c r="N10" s="70">
        <v>36</v>
      </c>
      <c r="O10" s="70">
        <v>81</v>
      </c>
      <c r="P10" s="133">
        <f t="shared" si="0"/>
        <v>1</v>
      </c>
      <c r="Q10" s="70">
        <v>43</v>
      </c>
      <c r="R10" s="70">
        <v>0</v>
      </c>
      <c r="S10" s="78">
        <v>616020</v>
      </c>
      <c r="T10" s="79">
        <v>672762</v>
      </c>
      <c r="U10" s="78">
        <v>672762</v>
      </c>
      <c r="V10" s="78">
        <v>0</v>
      </c>
      <c r="W10" s="135">
        <f t="shared" si="1"/>
        <v>0</v>
      </c>
    </row>
    <row r="11" spans="1:220" s="16" customFormat="1">
      <c r="A11" s="15">
        <v>2014</v>
      </c>
      <c r="B11" s="70">
        <v>7</v>
      </c>
      <c r="C11" s="70">
        <v>0.67</v>
      </c>
      <c r="D11" s="65">
        <f>B11+C11</f>
        <v>7.67</v>
      </c>
      <c r="E11" s="13">
        <f t="shared" ref="E11:E23" si="2">ROUND((O11/B11), 0)</f>
        <v>14</v>
      </c>
      <c r="F11" s="13">
        <f t="shared" ref="F11:F23" si="3">ROUND((O11/D11), 0)</f>
        <v>13</v>
      </c>
      <c r="G11" s="83"/>
      <c r="H11" s="83"/>
      <c r="I11" s="70">
        <v>6</v>
      </c>
      <c r="J11" s="70">
        <v>169</v>
      </c>
      <c r="K11" s="65">
        <f>I11+J11</f>
        <v>175</v>
      </c>
      <c r="L11" s="70">
        <v>92</v>
      </c>
      <c r="M11" s="13">
        <f>I11+L11</f>
        <v>98</v>
      </c>
      <c r="N11" s="70">
        <v>32</v>
      </c>
      <c r="O11" s="70">
        <v>98</v>
      </c>
      <c r="P11" s="133">
        <f t="shared" si="0"/>
        <v>1</v>
      </c>
      <c r="Q11" s="70">
        <v>63</v>
      </c>
      <c r="R11" s="70">
        <v>0</v>
      </c>
      <c r="S11" s="71">
        <v>550236</v>
      </c>
      <c r="T11" s="68">
        <f t="shared" ref="T11:T23" si="4">SUM(U11:V11)</f>
        <v>550236</v>
      </c>
      <c r="U11" s="71">
        <v>550236</v>
      </c>
      <c r="V11" s="71">
        <v>0</v>
      </c>
      <c r="W11" s="135">
        <f t="shared" si="1"/>
        <v>0</v>
      </c>
    </row>
    <row r="12" spans="1:220">
      <c r="A12" s="15">
        <v>2013</v>
      </c>
      <c r="B12" s="528">
        <v>7</v>
      </c>
      <c r="C12" s="528">
        <v>0.33</v>
      </c>
      <c r="D12" s="23">
        <f>B12+C12</f>
        <v>7.33</v>
      </c>
      <c r="E12" s="82">
        <f t="shared" si="2"/>
        <v>24</v>
      </c>
      <c r="F12" s="82">
        <f t="shared" si="3"/>
        <v>23</v>
      </c>
      <c r="G12" s="85"/>
      <c r="H12" s="85"/>
      <c r="I12" s="528">
        <v>0</v>
      </c>
      <c r="J12" s="528">
        <v>237</v>
      </c>
      <c r="K12" s="23">
        <f>I12+J12</f>
        <v>237</v>
      </c>
      <c r="L12" s="528">
        <v>165</v>
      </c>
      <c r="M12" s="82">
        <f>I12+L12</f>
        <v>165</v>
      </c>
      <c r="N12" s="528">
        <v>39</v>
      </c>
      <c r="O12" s="528">
        <v>165</v>
      </c>
      <c r="P12" s="133">
        <f t="shared" si="0"/>
        <v>1</v>
      </c>
      <c r="Q12" s="528">
        <v>159</v>
      </c>
      <c r="R12" s="528">
        <v>0</v>
      </c>
      <c r="S12" s="84">
        <v>632696</v>
      </c>
      <c r="T12" s="24">
        <f t="shared" si="4"/>
        <v>632696</v>
      </c>
      <c r="U12" s="84">
        <v>631267</v>
      </c>
      <c r="V12" s="84">
        <v>1429</v>
      </c>
      <c r="W12" s="135">
        <f t="shared" si="1"/>
        <v>2.2585886428869474E-3</v>
      </c>
    </row>
    <row r="13" spans="1:220">
      <c r="A13" s="15">
        <v>2012</v>
      </c>
      <c r="B13" s="528">
        <v>7</v>
      </c>
      <c r="C13" s="528">
        <v>1</v>
      </c>
      <c r="D13" s="23">
        <f>B13+C13</f>
        <v>8</v>
      </c>
      <c r="E13" s="82">
        <f t="shared" si="2"/>
        <v>16</v>
      </c>
      <c r="F13" s="82">
        <f t="shared" si="3"/>
        <v>14</v>
      </c>
      <c r="G13" s="85"/>
      <c r="H13" s="85"/>
      <c r="I13" s="528">
        <v>16</v>
      </c>
      <c r="J13" s="528">
        <v>195</v>
      </c>
      <c r="K13" s="23">
        <f>I13+J13</f>
        <v>211</v>
      </c>
      <c r="L13" s="528">
        <v>92.9</v>
      </c>
      <c r="M13" s="82">
        <f>I13+L13</f>
        <v>108.9</v>
      </c>
      <c r="N13" s="528">
        <v>33</v>
      </c>
      <c r="O13" s="528">
        <v>108.9</v>
      </c>
      <c r="P13" s="133">
        <f t="shared" si="0"/>
        <v>1</v>
      </c>
      <c r="Q13" s="528">
        <v>81</v>
      </c>
      <c r="R13" s="528">
        <v>0</v>
      </c>
      <c r="S13" s="84">
        <v>488032</v>
      </c>
      <c r="T13" s="24">
        <f t="shared" si="4"/>
        <v>505045</v>
      </c>
      <c r="U13" s="84">
        <v>504045</v>
      </c>
      <c r="V13" s="84">
        <v>1000</v>
      </c>
      <c r="W13" s="135">
        <f t="shared" si="1"/>
        <v>1.9800215822352463E-3</v>
      </c>
    </row>
    <row r="14" spans="1:220">
      <c r="A14" s="15">
        <v>2011</v>
      </c>
      <c r="B14" s="528">
        <v>7</v>
      </c>
      <c r="C14" s="528">
        <v>1.3</v>
      </c>
      <c r="D14" s="23">
        <f t="shared" ref="D14:D23" si="5">SUM(B14:C14)</f>
        <v>8.3000000000000007</v>
      </c>
      <c r="E14" s="82">
        <f t="shared" si="2"/>
        <v>18</v>
      </c>
      <c r="F14" s="82">
        <f t="shared" si="3"/>
        <v>16</v>
      </c>
      <c r="G14" s="85"/>
      <c r="H14" s="85"/>
      <c r="I14" s="528">
        <v>22</v>
      </c>
      <c r="J14" s="528">
        <v>227</v>
      </c>
      <c r="K14" s="23">
        <f t="shared" ref="K14:K23" si="6">SUM(I14:J14)</f>
        <v>249</v>
      </c>
      <c r="L14" s="528">
        <v>107</v>
      </c>
      <c r="M14" s="82">
        <f t="shared" ref="M14:M23" si="7">(I14+L14)</f>
        <v>129</v>
      </c>
      <c r="N14" s="528">
        <v>35</v>
      </c>
      <c r="O14" s="528">
        <v>129</v>
      </c>
      <c r="P14" s="133">
        <f t="shared" si="0"/>
        <v>1</v>
      </c>
      <c r="Q14" s="528">
        <v>55</v>
      </c>
      <c r="R14" s="528">
        <v>0</v>
      </c>
      <c r="S14" s="84">
        <v>473945</v>
      </c>
      <c r="T14" s="24">
        <f t="shared" si="4"/>
        <v>505045</v>
      </c>
      <c r="U14" s="84">
        <v>504045</v>
      </c>
      <c r="V14" s="84">
        <v>1000</v>
      </c>
      <c r="W14" s="135">
        <f t="shared" si="1"/>
        <v>1.9800215822352463E-3</v>
      </c>
    </row>
    <row r="15" spans="1:220">
      <c r="A15" s="15">
        <v>2010</v>
      </c>
      <c r="B15" s="528">
        <v>6</v>
      </c>
      <c r="C15" s="528">
        <v>2.33</v>
      </c>
      <c r="D15" s="23">
        <f t="shared" si="5"/>
        <v>8.33</v>
      </c>
      <c r="E15" s="82">
        <f t="shared" si="2"/>
        <v>24</v>
      </c>
      <c r="F15" s="82">
        <f t="shared" si="3"/>
        <v>17</v>
      </c>
      <c r="G15" s="85"/>
      <c r="H15" s="85"/>
      <c r="I15" s="528">
        <v>14</v>
      </c>
      <c r="J15" s="528">
        <v>256</v>
      </c>
      <c r="K15" s="23">
        <f t="shared" si="6"/>
        <v>270</v>
      </c>
      <c r="L15" s="528">
        <v>128</v>
      </c>
      <c r="M15" s="82">
        <f t="shared" si="7"/>
        <v>142</v>
      </c>
      <c r="N15" s="528">
        <v>60</v>
      </c>
      <c r="O15" s="528">
        <v>142</v>
      </c>
      <c r="P15" s="133">
        <f t="shared" si="0"/>
        <v>1</v>
      </c>
      <c r="Q15" s="528">
        <v>70</v>
      </c>
      <c r="R15" s="528">
        <v>0</v>
      </c>
      <c r="S15" s="84">
        <v>473416</v>
      </c>
      <c r="T15" s="24">
        <f t="shared" si="4"/>
        <v>504045</v>
      </c>
      <c r="U15" s="84">
        <v>504045</v>
      </c>
      <c r="V15" s="84">
        <v>0</v>
      </c>
      <c r="W15" s="135">
        <f t="shared" si="1"/>
        <v>0</v>
      </c>
    </row>
    <row r="16" spans="1:220">
      <c r="A16" s="15">
        <v>2009</v>
      </c>
      <c r="B16" s="528">
        <v>6</v>
      </c>
      <c r="C16" s="528">
        <v>1.67</v>
      </c>
      <c r="D16" s="23">
        <f t="shared" si="5"/>
        <v>7.67</v>
      </c>
      <c r="E16" s="82">
        <f t="shared" si="2"/>
        <v>21</v>
      </c>
      <c r="F16" s="82">
        <f t="shared" si="3"/>
        <v>16</v>
      </c>
      <c r="G16" s="85"/>
      <c r="H16" s="85"/>
      <c r="I16" s="528">
        <v>33</v>
      </c>
      <c r="J16" s="528">
        <v>176</v>
      </c>
      <c r="K16" s="23">
        <f t="shared" si="6"/>
        <v>209</v>
      </c>
      <c r="L16" s="528">
        <v>92</v>
      </c>
      <c r="M16" s="82">
        <f t="shared" si="7"/>
        <v>125</v>
      </c>
      <c r="N16" s="528">
        <v>42</v>
      </c>
      <c r="O16" s="528">
        <v>125</v>
      </c>
      <c r="P16" s="133">
        <f t="shared" si="0"/>
        <v>1</v>
      </c>
      <c r="Q16" s="528">
        <v>43</v>
      </c>
      <c r="R16" s="528">
        <v>0</v>
      </c>
      <c r="S16" s="84">
        <v>554076</v>
      </c>
      <c r="T16" s="24">
        <f t="shared" si="4"/>
        <v>559947</v>
      </c>
      <c r="U16" s="84">
        <v>554076</v>
      </c>
      <c r="V16" s="84">
        <v>5871</v>
      </c>
      <c r="W16" s="135">
        <f t="shared" si="1"/>
        <v>1.0484920894298925E-2</v>
      </c>
    </row>
    <row r="17" spans="1:23">
      <c r="A17" s="15">
        <v>2008</v>
      </c>
      <c r="B17" s="528">
        <v>6</v>
      </c>
      <c r="C17" s="528">
        <v>0.66600000000000004</v>
      </c>
      <c r="D17" s="23">
        <f t="shared" si="5"/>
        <v>6.6660000000000004</v>
      </c>
      <c r="E17" s="82">
        <f t="shared" si="2"/>
        <v>19</v>
      </c>
      <c r="F17" s="82">
        <f t="shared" si="3"/>
        <v>17</v>
      </c>
      <c r="G17" s="85"/>
      <c r="H17" s="85"/>
      <c r="I17" s="528">
        <v>29</v>
      </c>
      <c r="J17" s="528">
        <v>126</v>
      </c>
      <c r="K17" s="23">
        <f t="shared" si="6"/>
        <v>155</v>
      </c>
      <c r="L17" s="528">
        <v>83.92</v>
      </c>
      <c r="M17" s="82">
        <f t="shared" si="7"/>
        <v>112.92</v>
      </c>
      <c r="N17" s="528">
        <v>40</v>
      </c>
      <c r="O17" s="528">
        <v>114</v>
      </c>
      <c r="P17" s="133">
        <f t="shared" si="0"/>
        <v>0.9905263157894737</v>
      </c>
      <c r="Q17" s="528">
        <v>17</v>
      </c>
      <c r="R17" s="528">
        <v>0</v>
      </c>
      <c r="S17" s="84">
        <v>470002</v>
      </c>
      <c r="T17" s="24">
        <f t="shared" si="4"/>
        <v>449707</v>
      </c>
      <c r="U17" s="84">
        <v>435902</v>
      </c>
      <c r="V17" s="84">
        <v>13805</v>
      </c>
      <c r="W17" s="135">
        <f t="shared" si="1"/>
        <v>3.0697765433938099E-2</v>
      </c>
    </row>
    <row r="18" spans="1:23">
      <c r="A18" s="15">
        <v>2007</v>
      </c>
      <c r="B18" s="528">
        <v>5</v>
      </c>
      <c r="C18" s="528">
        <v>0</v>
      </c>
      <c r="D18" s="23">
        <f t="shared" si="5"/>
        <v>5</v>
      </c>
      <c r="E18" s="82">
        <f t="shared" si="2"/>
        <v>14</v>
      </c>
      <c r="F18" s="82">
        <f t="shared" si="3"/>
        <v>14</v>
      </c>
      <c r="G18" s="85"/>
      <c r="H18" s="85"/>
      <c r="I18" s="528">
        <v>15</v>
      </c>
      <c r="J18" s="528">
        <v>82</v>
      </c>
      <c r="K18" s="23">
        <f t="shared" si="6"/>
        <v>97</v>
      </c>
      <c r="L18" s="528">
        <v>54.92</v>
      </c>
      <c r="M18" s="82">
        <f t="shared" si="7"/>
        <v>69.92</v>
      </c>
      <c r="N18" s="528">
        <v>19</v>
      </c>
      <c r="O18" s="528">
        <v>70</v>
      </c>
      <c r="P18" s="133">
        <f t="shared" si="0"/>
        <v>0.99885714285714289</v>
      </c>
      <c r="Q18" s="528">
        <v>34</v>
      </c>
      <c r="R18" s="528">
        <v>0</v>
      </c>
      <c r="S18" s="179">
        <v>452526</v>
      </c>
      <c r="T18" s="24">
        <f t="shared" si="4"/>
        <v>452526</v>
      </c>
      <c r="U18" s="179">
        <v>451027</v>
      </c>
      <c r="V18" s="179">
        <v>1499</v>
      </c>
      <c r="W18" s="135">
        <f t="shared" si="1"/>
        <v>3.3125168498605606E-3</v>
      </c>
    </row>
    <row r="19" spans="1:23">
      <c r="A19" s="15">
        <v>2006</v>
      </c>
      <c r="B19" s="528">
        <v>5</v>
      </c>
      <c r="C19" s="528">
        <v>0</v>
      </c>
      <c r="D19" s="23">
        <f t="shared" si="5"/>
        <v>5</v>
      </c>
      <c r="E19" s="82">
        <f t="shared" si="2"/>
        <v>9</v>
      </c>
      <c r="F19" s="82">
        <f t="shared" si="3"/>
        <v>9</v>
      </c>
      <c r="G19" s="85"/>
      <c r="H19" s="85"/>
      <c r="I19" s="528">
        <v>12</v>
      </c>
      <c r="J19" s="528">
        <v>67</v>
      </c>
      <c r="K19" s="23">
        <f t="shared" si="6"/>
        <v>79</v>
      </c>
      <c r="L19" s="528">
        <v>32</v>
      </c>
      <c r="M19" s="82">
        <f t="shared" si="7"/>
        <v>44</v>
      </c>
      <c r="N19" s="528">
        <v>11</v>
      </c>
      <c r="O19" s="528">
        <v>45</v>
      </c>
      <c r="P19" s="133">
        <f t="shared" si="0"/>
        <v>0.97777777777777775</v>
      </c>
      <c r="Q19" s="528">
        <v>15</v>
      </c>
      <c r="R19" s="528">
        <v>0</v>
      </c>
      <c r="S19" s="132">
        <v>411759</v>
      </c>
      <c r="T19" s="24">
        <f t="shared" si="4"/>
        <v>411759</v>
      </c>
      <c r="U19" s="132">
        <v>410759</v>
      </c>
      <c r="V19" s="132">
        <v>1000</v>
      </c>
      <c r="W19" s="135">
        <f t="shared" si="1"/>
        <v>2.4286050820989946E-3</v>
      </c>
    </row>
    <row r="20" spans="1:23">
      <c r="A20" s="15">
        <v>2005</v>
      </c>
      <c r="B20" s="528">
        <v>4</v>
      </c>
      <c r="C20" s="528">
        <v>0</v>
      </c>
      <c r="D20" s="23">
        <f t="shared" si="5"/>
        <v>4</v>
      </c>
      <c r="E20" s="82">
        <f t="shared" si="2"/>
        <v>10</v>
      </c>
      <c r="F20" s="82">
        <f t="shared" si="3"/>
        <v>10</v>
      </c>
      <c r="G20" s="85"/>
      <c r="H20" s="85"/>
      <c r="I20" s="528">
        <v>10</v>
      </c>
      <c r="J20" s="528">
        <v>54</v>
      </c>
      <c r="K20" s="23">
        <f t="shared" si="6"/>
        <v>64</v>
      </c>
      <c r="L20" s="528">
        <v>27</v>
      </c>
      <c r="M20" s="82">
        <f t="shared" si="7"/>
        <v>37</v>
      </c>
      <c r="N20" s="528">
        <v>6</v>
      </c>
      <c r="O20" s="528">
        <v>38.5</v>
      </c>
      <c r="P20" s="133">
        <f t="shared" si="0"/>
        <v>0.96103896103896103</v>
      </c>
      <c r="Q20" s="528">
        <v>0</v>
      </c>
      <c r="R20" s="528">
        <v>5</v>
      </c>
      <c r="S20" s="132">
        <v>372576</v>
      </c>
      <c r="T20" s="24">
        <f t="shared" si="4"/>
        <v>372825</v>
      </c>
      <c r="U20" s="132">
        <v>372576</v>
      </c>
      <c r="V20" s="132">
        <v>249</v>
      </c>
      <c r="W20" s="135">
        <f t="shared" si="1"/>
        <v>6.67873667270167E-4</v>
      </c>
    </row>
    <row r="21" spans="1:23">
      <c r="A21" s="15">
        <v>2004</v>
      </c>
      <c r="B21" s="528">
        <v>4</v>
      </c>
      <c r="C21" s="528">
        <v>0</v>
      </c>
      <c r="D21" s="23">
        <f t="shared" si="5"/>
        <v>4</v>
      </c>
      <c r="E21" s="82">
        <f t="shared" si="2"/>
        <v>9</v>
      </c>
      <c r="F21" s="82">
        <f t="shared" si="3"/>
        <v>9</v>
      </c>
      <c r="G21" s="85"/>
      <c r="H21" s="85"/>
      <c r="I21" s="528">
        <v>5</v>
      </c>
      <c r="J21" s="528">
        <v>59</v>
      </c>
      <c r="K21" s="23">
        <f t="shared" si="6"/>
        <v>64</v>
      </c>
      <c r="L21" s="528">
        <v>28</v>
      </c>
      <c r="M21" s="82">
        <f t="shared" si="7"/>
        <v>33</v>
      </c>
      <c r="N21" s="528">
        <v>3</v>
      </c>
      <c r="O21" s="528">
        <v>34</v>
      </c>
      <c r="P21" s="133">
        <f t="shared" si="0"/>
        <v>0.97058823529411764</v>
      </c>
      <c r="Q21" s="528">
        <v>0</v>
      </c>
      <c r="R21" s="528">
        <v>1</v>
      </c>
      <c r="S21" s="132">
        <v>349806</v>
      </c>
      <c r="T21" s="24">
        <f t="shared" si="4"/>
        <v>351553</v>
      </c>
      <c r="U21" s="132">
        <v>349806</v>
      </c>
      <c r="V21" s="132">
        <v>1747</v>
      </c>
      <c r="W21" s="135">
        <f t="shared" si="1"/>
        <v>4.9693787281007411E-3</v>
      </c>
    </row>
    <row r="22" spans="1:23">
      <c r="A22" s="15">
        <v>2003</v>
      </c>
      <c r="B22" s="528">
        <v>2</v>
      </c>
      <c r="C22" s="528">
        <v>0</v>
      </c>
      <c r="D22" s="23">
        <f t="shared" si="5"/>
        <v>2</v>
      </c>
      <c r="E22" s="82">
        <f t="shared" si="2"/>
        <v>13</v>
      </c>
      <c r="F22" s="82">
        <f t="shared" si="3"/>
        <v>13</v>
      </c>
      <c r="G22" s="85"/>
      <c r="H22" s="85"/>
      <c r="I22" s="528">
        <v>3</v>
      </c>
      <c r="J22" s="528">
        <v>47</v>
      </c>
      <c r="K22" s="23">
        <f t="shared" si="6"/>
        <v>50</v>
      </c>
      <c r="L22" s="528">
        <v>23</v>
      </c>
      <c r="M22" s="82">
        <f t="shared" si="7"/>
        <v>26</v>
      </c>
      <c r="N22" s="528">
        <v>2</v>
      </c>
      <c r="O22" s="528">
        <v>26</v>
      </c>
      <c r="P22" s="133">
        <f t="shared" si="0"/>
        <v>1</v>
      </c>
      <c r="Q22" s="528">
        <v>0</v>
      </c>
      <c r="R22" s="528">
        <v>1</v>
      </c>
      <c r="S22" s="132">
        <v>336396</v>
      </c>
      <c r="T22" s="24">
        <f t="shared" si="4"/>
        <v>245599</v>
      </c>
      <c r="U22" s="132">
        <v>245599</v>
      </c>
      <c r="V22" s="132">
        <v>0</v>
      </c>
      <c r="W22" s="135">
        <f t="shared" si="1"/>
        <v>0</v>
      </c>
    </row>
    <row r="23" spans="1:23">
      <c r="A23" s="15">
        <v>2002</v>
      </c>
      <c r="B23" s="528">
        <v>3</v>
      </c>
      <c r="C23" s="528">
        <f>ROUND(0.25, 0)</f>
        <v>0</v>
      </c>
      <c r="D23" s="23">
        <f t="shared" si="5"/>
        <v>3</v>
      </c>
      <c r="E23" s="82">
        <f t="shared" si="2"/>
        <v>3</v>
      </c>
      <c r="F23" s="82">
        <f t="shared" si="3"/>
        <v>3</v>
      </c>
      <c r="G23" s="85"/>
      <c r="H23" s="85"/>
      <c r="I23" s="528">
        <v>1</v>
      </c>
      <c r="J23" s="528">
        <v>10</v>
      </c>
      <c r="K23" s="23">
        <f t="shared" si="6"/>
        <v>11</v>
      </c>
      <c r="L23" s="528">
        <f>ROUND(6.89, 0)</f>
        <v>7</v>
      </c>
      <c r="M23" s="82">
        <f t="shared" si="7"/>
        <v>8</v>
      </c>
      <c r="N23" s="528">
        <v>1</v>
      </c>
      <c r="O23" s="528">
        <f>ROUND(7.89, 0)</f>
        <v>8</v>
      </c>
      <c r="P23" s="133">
        <f t="shared" si="0"/>
        <v>1</v>
      </c>
      <c r="Q23" s="528">
        <v>0</v>
      </c>
      <c r="R23" s="528">
        <v>1</v>
      </c>
      <c r="S23" s="132">
        <v>338812</v>
      </c>
      <c r="T23" s="24">
        <f t="shared" si="4"/>
        <v>338812</v>
      </c>
      <c r="U23" s="132">
        <v>338812</v>
      </c>
      <c r="V23" s="132">
        <v>0</v>
      </c>
      <c r="W23" s="135">
        <f t="shared" si="1"/>
        <v>0</v>
      </c>
    </row>
    <row r="24" spans="1:23" s="12" customFormat="1">
      <c r="G24"/>
      <c r="H24"/>
    </row>
    <row r="25" spans="1:23" s="12" customFormat="1">
      <c r="G25"/>
      <c r="H25"/>
    </row>
    <row r="26" spans="1:23" s="12" customFormat="1">
      <c r="G26"/>
      <c r="H26"/>
    </row>
    <row r="27" spans="1:23" s="12" customFormat="1">
      <c r="G27"/>
      <c r="H27"/>
    </row>
    <row r="28" spans="1:23" s="12" customFormat="1">
      <c r="G28"/>
      <c r="H28"/>
    </row>
    <row r="29" spans="1:23" s="12" customFormat="1">
      <c r="G29"/>
      <c r="H29"/>
    </row>
    <row r="30" spans="1:23" s="12" customFormat="1">
      <c r="G30"/>
      <c r="H30"/>
    </row>
    <row r="31" spans="1:23" s="12" customFormat="1">
      <c r="G31"/>
      <c r="H31"/>
    </row>
    <row r="32" spans="1:23" s="12" customFormat="1">
      <c r="G32"/>
      <c r="H32"/>
    </row>
    <row r="33" spans="7:8" s="12" customFormat="1">
      <c r="G33"/>
      <c r="H33"/>
    </row>
  </sheetData>
  <printOptions headings="1" gridLines="1"/>
  <pageMargins left="0.5" right="0.5" top="0.5" bottom="0.5" header="0" footer="0"/>
  <pageSetup paperSize="5" scale="65" orientation="landscape" r:id="rId1"/>
  <legacyDrawing r:id="rId2"/>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HL37"/>
  <sheetViews>
    <sheetView workbookViewId="0">
      <selection activeCell="N30" sqref="N30"/>
    </sheetView>
  </sheetViews>
  <sheetFormatPr defaultColWidth="8.85546875" defaultRowHeight="15"/>
  <cols>
    <col min="1" max="1" width="10.5703125" customWidth="1"/>
    <col min="2" max="2" width="10.140625" bestFit="1" customWidth="1"/>
    <col min="3" max="3" width="8.42578125" bestFit="1" customWidth="1"/>
    <col min="4" max="4" width="9.42578125" bestFit="1" customWidth="1"/>
    <col min="5" max="5" width="12.42578125" bestFit="1" customWidth="1"/>
    <col min="6" max="6" width="11.42578125" bestFit="1" customWidth="1"/>
    <col min="7" max="8" width="12.140625" customWidth="1"/>
    <col min="9" max="9" width="8.85546875" bestFit="1" customWidth="1"/>
    <col min="10" max="11" width="11.85546875" bestFit="1" customWidth="1"/>
    <col min="12" max="12" width="12.42578125" bestFit="1" customWidth="1"/>
    <col min="13" max="13" width="13.140625" bestFit="1" customWidth="1"/>
    <col min="14" max="14" width="11.140625" customWidth="1"/>
    <col min="15" max="15" width="13.42578125" bestFit="1" customWidth="1"/>
    <col min="16" max="16" width="14.42578125" customWidth="1"/>
    <col min="17" max="17" width="12.42578125" bestFit="1" customWidth="1"/>
    <col min="18" max="18" width="9" bestFit="1" customWidth="1"/>
    <col min="19" max="19" width="12" bestFit="1" customWidth="1"/>
    <col min="20" max="20" width="13" bestFit="1" customWidth="1"/>
    <col min="21" max="21" width="11.140625" bestFit="1" customWidth="1"/>
    <col min="22" max="22" width="11.5703125" bestFit="1" customWidth="1"/>
    <col min="23" max="23" width="12.85546875" bestFit="1" customWidth="1"/>
  </cols>
  <sheetData>
    <row r="1" spans="1:220" s="7" customFormat="1" ht="18.75">
      <c r="A1" s="1" t="s">
        <v>231</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59" customFormat="1">
      <c r="A3" s="370">
        <v>2022</v>
      </c>
      <c r="B3" s="528">
        <v>57</v>
      </c>
      <c r="C3" s="528">
        <v>28.7</v>
      </c>
      <c r="D3" s="23">
        <f t="shared" ref="D3" si="0">SUM(B3:C3)</f>
        <v>85.7</v>
      </c>
      <c r="E3" s="82">
        <f t="shared" ref="E3" si="1">ROUND((O3/B3), 0)</f>
        <v>23</v>
      </c>
      <c r="F3" s="82">
        <f t="shared" ref="F3" si="2">ROUND((O3/D3), 0)</f>
        <v>15</v>
      </c>
      <c r="G3" s="528">
        <v>28</v>
      </c>
      <c r="H3" s="528">
        <v>9.33</v>
      </c>
      <c r="I3" s="528">
        <v>154</v>
      </c>
      <c r="J3" s="528">
        <v>204</v>
      </c>
      <c r="K3" s="23">
        <f t="shared" ref="K3" si="3">SUM(I3:J3)</f>
        <v>358</v>
      </c>
      <c r="L3" s="528">
        <v>143</v>
      </c>
      <c r="M3" s="82">
        <f t="shared" ref="M3" si="4">(I3+L3)</f>
        <v>297</v>
      </c>
      <c r="N3" s="528">
        <v>110</v>
      </c>
      <c r="O3" s="528">
        <v>1292.75</v>
      </c>
      <c r="P3" s="133">
        <f>M3/O3</f>
        <v>0.22974279636433959</v>
      </c>
      <c r="Q3" s="528">
        <v>156</v>
      </c>
      <c r="R3" s="528">
        <v>402</v>
      </c>
      <c r="S3" s="179">
        <v>36847870</v>
      </c>
      <c r="T3" s="24">
        <f t="shared" ref="T3" si="5">SUM(U3:V3)</f>
        <v>36937077</v>
      </c>
      <c r="U3" s="423">
        <v>12250044</v>
      </c>
      <c r="V3" s="179">
        <v>24687033</v>
      </c>
      <c r="W3" s="135">
        <f>V3/T3</f>
        <v>0.66835372490357048</v>
      </c>
    </row>
    <row r="4" spans="1:220" s="59" customFormat="1">
      <c r="A4" s="370">
        <v>2021</v>
      </c>
      <c r="B4" s="528">
        <v>55</v>
      </c>
      <c r="C4" s="528">
        <v>35.299999999999997</v>
      </c>
      <c r="D4" s="23">
        <f>SUM(B4:C4)</f>
        <v>90.3</v>
      </c>
      <c r="E4" s="82">
        <f t="shared" ref="E4" si="6">ROUND((O4/B4), 0)</f>
        <v>21</v>
      </c>
      <c r="F4" s="82">
        <f t="shared" ref="F4" si="7">ROUND((O4/D4), 0)</f>
        <v>13</v>
      </c>
      <c r="G4" s="528">
        <v>29</v>
      </c>
      <c r="H4" s="528">
        <v>9.2899999999999991</v>
      </c>
      <c r="I4" s="528">
        <v>146</v>
      </c>
      <c r="J4" s="528">
        <v>260</v>
      </c>
      <c r="K4" s="23">
        <f t="shared" ref="K4" si="8">SUM(I4:J4)</f>
        <v>406</v>
      </c>
      <c r="L4" s="528">
        <v>156.19999999999999</v>
      </c>
      <c r="M4" s="82">
        <f>(I4+L4)</f>
        <v>302.2</v>
      </c>
      <c r="N4" s="528">
        <v>114</v>
      </c>
      <c r="O4" s="528">
        <v>1131.8</v>
      </c>
      <c r="P4" s="133">
        <f>M4/O4</f>
        <v>0.26700830535430287</v>
      </c>
      <c r="Q4" s="528">
        <v>128</v>
      </c>
      <c r="R4" s="528">
        <v>418</v>
      </c>
      <c r="S4" s="179">
        <v>32065515</v>
      </c>
      <c r="T4" s="24">
        <f t="shared" ref="T4" si="9">SUM(U4:V4)</f>
        <v>35967816</v>
      </c>
      <c r="U4" s="423">
        <v>12010603</v>
      </c>
      <c r="V4" s="179">
        <v>23957213</v>
      </c>
      <c r="W4" s="135">
        <f>V4/T4</f>
        <v>0.66607360869506227</v>
      </c>
    </row>
    <row r="5" spans="1:220" s="59" customFormat="1">
      <c r="A5" s="370">
        <v>2020</v>
      </c>
      <c r="B5" s="528">
        <v>52</v>
      </c>
      <c r="C5" s="528">
        <v>35.299999999999997</v>
      </c>
      <c r="D5" s="23">
        <f>SUM(B5:C5)</f>
        <v>87.3</v>
      </c>
      <c r="E5" s="82">
        <f>ROUND((O5/B5), 0)</f>
        <v>21</v>
      </c>
      <c r="F5" s="82">
        <f>ROUND((O5/D5), 0)</f>
        <v>12</v>
      </c>
      <c r="G5" s="528">
        <v>28</v>
      </c>
      <c r="H5" s="528">
        <v>9.24</v>
      </c>
      <c r="I5" s="528">
        <v>163</v>
      </c>
      <c r="J5" s="528">
        <v>218</v>
      </c>
      <c r="K5" s="23">
        <f t="shared" ref="K5" si="10">SUM(I5:J5)</f>
        <v>381</v>
      </c>
      <c r="L5" s="528">
        <v>158.19999999999999</v>
      </c>
      <c r="M5" s="82">
        <f>(I5+L5)</f>
        <v>321.2</v>
      </c>
      <c r="N5" s="528">
        <v>105</v>
      </c>
      <c r="O5" s="528">
        <v>1073.2</v>
      </c>
      <c r="P5" s="133">
        <f>M5/O5</f>
        <v>0.299291837495341</v>
      </c>
      <c r="Q5" s="528">
        <v>129</v>
      </c>
      <c r="R5" s="528">
        <v>370</v>
      </c>
      <c r="S5" s="179">
        <v>28595721</v>
      </c>
      <c r="T5" s="24">
        <f>SUM(U5:V5)</f>
        <v>33362881</v>
      </c>
      <c r="U5" s="179">
        <v>9850812</v>
      </c>
      <c r="V5" s="179">
        <v>23512069</v>
      </c>
      <c r="W5" s="135">
        <f>V5/T5</f>
        <v>0.70473736965341816</v>
      </c>
    </row>
    <row r="6" spans="1:220" s="59" customFormat="1">
      <c r="A6" s="370">
        <v>2019</v>
      </c>
      <c r="B6" s="528">
        <v>53</v>
      </c>
      <c r="C6" s="528">
        <v>35</v>
      </c>
      <c r="D6" s="23">
        <f>SUM(B6:C6)</f>
        <v>88</v>
      </c>
      <c r="E6" s="82">
        <f>ROUND((O6/B6), 0)</f>
        <v>27</v>
      </c>
      <c r="F6" s="82">
        <f>ROUND((O6/D6), 0)</f>
        <v>16</v>
      </c>
      <c r="G6" s="528">
        <v>25</v>
      </c>
      <c r="H6" s="528">
        <v>8.34</v>
      </c>
      <c r="I6" s="528">
        <v>130</v>
      </c>
      <c r="J6" s="528">
        <v>219</v>
      </c>
      <c r="K6" s="23">
        <f t="shared" ref="K6" si="11">SUM(I6:J6)</f>
        <v>349</v>
      </c>
      <c r="L6" s="528">
        <v>145.4</v>
      </c>
      <c r="M6" s="82">
        <f>(I6+L6)</f>
        <v>275.39999999999998</v>
      </c>
      <c r="N6" s="528">
        <v>85</v>
      </c>
      <c r="O6" s="528">
        <v>1430.4</v>
      </c>
      <c r="P6" s="133">
        <f>M6/O6</f>
        <v>0.19253355704697983</v>
      </c>
      <c r="Q6" s="528">
        <v>129</v>
      </c>
      <c r="R6" s="528">
        <v>358</v>
      </c>
      <c r="S6" s="179">
        <v>27301001</v>
      </c>
      <c r="T6" s="24">
        <f>SUM(U6:V6)</f>
        <v>25456786</v>
      </c>
      <c r="U6" s="179">
        <v>9814264</v>
      </c>
      <c r="V6" s="179">
        <v>15642522</v>
      </c>
      <c r="W6" s="135">
        <f>V6/T6</f>
        <v>0.61447356315915136</v>
      </c>
    </row>
    <row r="7" spans="1:220" s="14" customFormat="1">
      <c r="A7" s="10">
        <v>2018</v>
      </c>
      <c r="B7" s="17">
        <v>47</v>
      </c>
      <c r="C7" s="17">
        <v>25.9</v>
      </c>
      <c r="D7" s="23">
        <f>SUM(B7:C7)</f>
        <v>72.900000000000006</v>
      </c>
      <c r="E7" s="82">
        <f>ROUND((O7/B7), 0)</f>
        <v>22</v>
      </c>
      <c r="F7" s="82">
        <f>ROUND((O7/D7), 0)</f>
        <v>14</v>
      </c>
      <c r="G7" s="17">
        <v>20</v>
      </c>
      <c r="H7" s="17">
        <v>9.57</v>
      </c>
      <c r="I7" s="17">
        <v>132</v>
      </c>
      <c r="J7" s="17">
        <v>214</v>
      </c>
      <c r="K7" s="23">
        <f t="shared" ref="K7" si="12">SUM(I7:J7)</f>
        <v>346</v>
      </c>
      <c r="L7" s="17">
        <v>146.69999999999999</v>
      </c>
      <c r="M7" s="82">
        <f>(I7+L7)</f>
        <v>278.7</v>
      </c>
      <c r="N7" s="17">
        <v>79</v>
      </c>
      <c r="O7" s="17">
        <v>1045.0999999999999</v>
      </c>
      <c r="P7" s="133">
        <f>M7/O7</f>
        <v>0.26667304564156541</v>
      </c>
      <c r="Q7" s="17">
        <v>137</v>
      </c>
      <c r="R7" s="17">
        <v>317</v>
      </c>
      <c r="S7" s="20">
        <v>26155785</v>
      </c>
      <c r="T7" s="24">
        <f>SUM(U7:V7)</f>
        <v>42945995</v>
      </c>
      <c r="U7" s="20">
        <v>9223599</v>
      </c>
      <c r="V7" s="20">
        <v>33722396</v>
      </c>
      <c r="W7" s="135">
        <f>V7/T7</f>
        <v>0.78522795897498709</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48</v>
      </c>
      <c r="C8" s="17">
        <v>23</v>
      </c>
      <c r="D8" s="27">
        <f>SUM(B8:C8)</f>
        <v>71</v>
      </c>
      <c r="E8" s="27">
        <f>ROUND((O8/B8), 0)</f>
        <v>21</v>
      </c>
      <c r="F8" s="27">
        <f>ROUND((O8/D8), 0)</f>
        <v>14</v>
      </c>
      <c r="G8" s="17">
        <v>20</v>
      </c>
      <c r="H8" s="17">
        <v>5.83</v>
      </c>
      <c r="I8" s="17">
        <v>160</v>
      </c>
      <c r="J8" s="17">
        <v>195</v>
      </c>
      <c r="K8" s="27">
        <f>SUM(I8:J8)</f>
        <v>355</v>
      </c>
      <c r="L8" s="17">
        <v>131.4</v>
      </c>
      <c r="M8" s="29">
        <f>(I8+L8)</f>
        <v>291.39999999999998</v>
      </c>
      <c r="N8" s="255">
        <v>90</v>
      </c>
      <c r="O8" s="255">
        <v>1023.13</v>
      </c>
      <c r="P8" s="133">
        <f t="shared" ref="P8:P23" si="13">M8/O8</f>
        <v>0.28481229169313771</v>
      </c>
      <c r="Q8" s="17">
        <v>127</v>
      </c>
      <c r="R8" s="17">
        <v>310</v>
      </c>
      <c r="S8" s="223">
        <v>24221351</v>
      </c>
      <c r="T8" s="28">
        <f>SUM(U8:V8)</f>
        <v>25560556</v>
      </c>
      <c r="U8" s="252">
        <v>7627853</v>
      </c>
      <c r="V8" s="20">
        <v>17932703</v>
      </c>
      <c r="W8" s="135">
        <f t="shared" ref="W8:W21" si="14">V8/T8</f>
        <v>0.70157718791406576</v>
      </c>
    </row>
    <row r="9" spans="1:220" s="9" customFormat="1">
      <c r="A9" s="10">
        <v>2016</v>
      </c>
      <c r="B9" s="54">
        <v>47</v>
      </c>
      <c r="C9" s="54">
        <v>29</v>
      </c>
      <c r="D9" s="65">
        <f>B9+C9</f>
        <v>76</v>
      </c>
      <c r="E9" s="13">
        <f>ROUND((O9/B9), 0)</f>
        <v>21</v>
      </c>
      <c r="F9" s="13">
        <f>ROUND((O9/D9), 0)</f>
        <v>13</v>
      </c>
      <c r="G9" s="54">
        <v>19</v>
      </c>
      <c r="H9" s="54">
        <v>5.67</v>
      </c>
      <c r="I9" s="54">
        <v>148</v>
      </c>
      <c r="J9" s="54">
        <v>184</v>
      </c>
      <c r="K9" s="65">
        <f>I9+J9</f>
        <v>332</v>
      </c>
      <c r="L9" s="54">
        <v>122.1</v>
      </c>
      <c r="M9" s="13">
        <f>I9+L9</f>
        <v>270.10000000000002</v>
      </c>
      <c r="N9" s="54">
        <v>78</v>
      </c>
      <c r="O9" s="54">
        <v>996.36</v>
      </c>
      <c r="P9" s="133">
        <f t="shared" si="13"/>
        <v>0.27108675579107955</v>
      </c>
      <c r="Q9" s="54">
        <v>135</v>
      </c>
      <c r="R9" s="54">
        <v>246</v>
      </c>
      <c r="S9" s="55">
        <v>22970353</v>
      </c>
      <c r="T9" s="68">
        <f>SUM(U9:V9)</f>
        <v>28633649</v>
      </c>
      <c r="U9" s="55">
        <v>10439235</v>
      </c>
      <c r="V9" s="55">
        <v>18194414</v>
      </c>
      <c r="W9" s="135">
        <f t="shared" si="14"/>
        <v>0.63542072475638711</v>
      </c>
    </row>
    <row r="10" spans="1:220" s="16" customFormat="1">
      <c r="A10" s="57">
        <v>2015</v>
      </c>
      <c r="B10" s="70">
        <v>16</v>
      </c>
      <c r="C10" s="70">
        <v>21.48</v>
      </c>
      <c r="D10" s="65">
        <v>37.479999999999997</v>
      </c>
      <c r="E10" s="65">
        <v>54.8</v>
      </c>
      <c r="F10" s="65">
        <v>23.4</v>
      </c>
      <c r="G10" s="83"/>
      <c r="H10" s="83"/>
      <c r="I10" s="70">
        <v>166</v>
      </c>
      <c r="J10" s="70">
        <v>193</v>
      </c>
      <c r="K10" s="65">
        <v>359</v>
      </c>
      <c r="L10" s="70">
        <v>116</v>
      </c>
      <c r="M10" s="65">
        <v>281.60000000000002</v>
      </c>
      <c r="N10" s="70">
        <v>124</v>
      </c>
      <c r="O10" s="70">
        <v>877.44</v>
      </c>
      <c r="P10" s="133">
        <f t="shared" si="13"/>
        <v>0.32093362509117435</v>
      </c>
      <c r="Q10" s="70">
        <v>127</v>
      </c>
      <c r="R10" s="70">
        <v>232</v>
      </c>
      <c r="S10" s="78">
        <v>20519417</v>
      </c>
      <c r="T10" s="79">
        <v>22139558</v>
      </c>
      <c r="U10" s="78">
        <v>5840458</v>
      </c>
      <c r="V10" s="78">
        <v>16299100</v>
      </c>
      <c r="W10" s="135">
        <f t="shared" si="14"/>
        <v>0.73619807586041242</v>
      </c>
    </row>
    <row r="11" spans="1:220" s="16" customFormat="1">
      <c r="A11" s="15">
        <v>2014</v>
      </c>
      <c r="B11" s="70">
        <v>38</v>
      </c>
      <c r="C11" s="70">
        <v>21</v>
      </c>
      <c r="D11" s="65">
        <f>B11+C11</f>
        <v>59</v>
      </c>
      <c r="E11" s="13">
        <f t="shared" ref="E11:E23" si="15">ROUND((O11/B11), 0)</f>
        <v>21</v>
      </c>
      <c r="F11" s="13">
        <f t="shared" ref="F11:F23" si="16">ROUND((O11/D11), 0)</f>
        <v>13</v>
      </c>
      <c r="G11" s="83"/>
      <c r="H11" s="83"/>
      <c r="I11" s="70">
        <v>143</v>
      </c>
      <c r="J11" s="70">
        <v>205</v>
      </c>
      <c r="K11" s="65">
        <f>I11+J11</f>
        <v>348</v>
      </c>
      <c r="L11" s="70">
        <v>132.9</v>
      </c>
      <c r="M11" s="13">
        <f>I11+L11</f>
        <v>275.89999999999998</v>
      </c>
      <c r="N11" s="70">
        <v>83</v>
      </c>
      <c r="O11" s="70">
        <v>779</v>
      </c>
      <c r="P11" s="133">
        <f t="shared" si="13"/>
        <v>0.35417201540436455</v>
      </c>
      <c r="Q11" s="70">
        <v>130</v>
      </c>
      <c r="R11" s="70">
        <v>212</v>
      </c>
      <c r="S11" s="71">
        <v>18652982</v>
      </c>
      <c r="T11" s="68">
        <f t="shared" ref="T11:T23" si="17">SUM(U11:V11)</f>
        <v>19788643</v>
      </c>
      <c r="U11" s="71">
        <v>5385207</v>
      </c>
      <c r="V11" s="71">
        <v>14403436</v>
      </c>
      <c r="W11" s="135">
        <f t="shared" si="14"/>
        <v>0.72786375498309819</v>
      </c>
    </row>
    <row r="12" spans="1:220">
      <c r="A12" s="15">
        <v>2013</v>
      </c>
      <c r="B12" s="528">
        <v>37</v>
      </c>
      <c r="C12" s="528">
        <v>14.9</v>
      </c>
      <c r="D12" s="23">
        <f>B12+C12</f>
        <v>51.9</v>
      </c>
      <c r="E12" s="82">
        <f t="shared" si="15"/>
        <v>18</v>
      </c>
      <c r="F12" s="82">
        <f t="shared" si="16"/>
        <v>13</v>
      </c>
      <c r="G12" s="85"/>
      <c r="H12" s="85"/>
      <c r="I12" s="528">
        <v>160</v>
      </c>
      <c r="J12" s="528">
        <v>188</v>
      </c>
      <c r="K12" s="23">
        <f>I12+J12</f>
        <v>348</v>
      </c>
      <c r="L12" s="528">
        <v>44</v>
      </c>
      <c r="M12" s="82">
        <f>I12+L12</f>
        <v>204</v>
      </c>
      <c r="N12" s="528">
        <v>75</v>
      </c>
      <c r="O12" s="528">
        <v>679.78</v>
      </c>
      <c r="P12" s="133">
        <f t="shared" si="13"/>
        <v>0.30009709023507608</v>
      </c>
      <c r="Q12" s="528">
        <v>154</v>
      </c>
      <c r="R12" s="528">
        <v>181</v>
      </c>
      <c r="S12" s="84">
        <v>16924468</v>
      </c>
      <c r="T12" s="24">
        <f t="shared" si="17"/>
        <v>17053041</v>
      </c>
      <c r="U12" s="84">
        <v>4421513</v>
      </c>
      <c r="V12" s="84">
        <v>12631528</v>
      </c>
      <c r="W12" s="135">
        <f t="shared" si="14"/>
        <v>0.74071996894864678</v>
      </c>
    </row>
    <row r="13" spans="1:220">
      <c r="A13" s="15">
        <v>2012</v>
      </c>
      <c r="B13" s="528">
        <v>35</v>
      </c>
      <c r="C13" s="528">
        <v>14.2</v>
      </c>
      <c r="D13" s="23">
        <f>B13+C13</f>
        <v>49.2</v>
      </c>
      <c r="E13" s="82">
        <f t="shared" si="15"/>
        <v>21</v>
      </c>
      <c r="F13" s="82">
        <f t="shared" si="16"/>
        <v>15</v>
      </c>
      <c r="G13" s="85"/>
      <c r="H13" s="85"/>
      <c r="I13" s="528">
        <v>179</v>
      </c>
      <c r="J13" s="528">
        <v>194</v>
      </c>
      <c r="K13" s="23">
        <f>I13+J13</f>
        <v>373</v>
      </c>
      <c r="L13" s="528">
        <v>306.8</v>
      </c>
      <c r="M13" s="82">
        <f>I13+L13</f>
        <v>485.8</v>
      </c>
      <c r="N13" s="528">
        <v>57</v>
      </c>
      <c r="O13" s="528">
        <v>724</v>
      </c>
      <c r="P13" s="133">
        <f t="shared" si="13"/>
        <v>0.6709944751381216</v>
      </c>
      <c r="Q13" s="528">
        <v>130</v>
      </c>
      <c r="R13" s="528">
        <v>149</v>
      </c>
      <c r="S13" s="84">
        <v>16099453</v>
      </c>
      <c r="T13" s="24">
        <f t="shared" si="17"/>
        <v>17818603</v>
      </c>
      <c r="U13" s="84">
        <v>4893839</v>
      </c>
      <c r="V13" s="84">
        <v>12924764</v>
      </c>
      <c r="W13" s="135">
        <f t="shared" si="14"/>
        <v>0.72535226246412243</v>
      </c>
    </row>
    <row r="14" spans="1:220">
      <c r="A14" s="15" t="s">
        <v>26</v>
      </c>
      <c r="B14" s="528">
        <v>34</v>
      </c>
      <c r="C14" s="528">
        <v>12.95</v>
      </c>
      <c r="D14" s="23">
        <f t="shared" ref="D14:D23" si="18">SUM(B14:C14)</f>
        <v>46.95</v>
      </c>
      <c r="E14" s="82">
        <f t="shared" si="15"/>
        <v>19</v>
      </c>
      <c r="F14" s="82">
        <f t="shared" si="16"/>
        <v>14</v>
      </c>
      <c r="G14" s="85"/>
      <c r="H14" s="85"/>
      <c r="I14" s="528">
        <v>148</v>
      </c>
      <c r="J14" s="528">
        <v>213</v>
      </c>
      <c r="K14" s="23">
        <f t="shared" ref="K14:K23" si="19">SUM(I14:J14)</f>
        <v>361</v>
      </c>
      <c r="L14" s="528">
        <v>141</v>
      </c>
      <c r="M14" s="82">
        <f t="shared" ref="M14:M23" si="20">(I14+L14)</f>
        <v>289</v>
      </c>
      <c r="N14" s="528">
        <v>53</v>
      </c>
      <c r="O14" s="528">
        <v>648.4</v>
      </c>
      <c r="P14" s="133">
        <f t="shared" si="13"/>
        <v>0.445712523133868</v>
      </c>
      <c r="Q14" s="528">
        <v>132</v>
      </c>
      <c r="R14" s="528">
        <v>159</v>
      </c>
      <c r="S14" s="84">
        <v>15651326</v>
      </c>
      <c r="T14" s="24">
        <f t="shared" si="17"/>
        <v>13631400</v>
      </c>
      <c r="U14" s="84">
        <v>5504300</v>
      </c>
      <c r="V14" s="84">
        <v>8127100</v>
      </c>
      <c r="W14" s="135">
        <f t="shared" si="14"/>
        <v>0.59620435171735842</v>
      </c>
    </row>
    <row r="15" spans="1:220">
      <c r="A15" s="15" t="s">
        <v>27</v>
      </c>
      <c r="B15" s="528">
        <v>38</v>
      </c>
      <c r="C15" s="528">
        <v>11.67</v>
      </c>
      <c r="D15" s="23">
        <f t="shared" si="18"/>
        <v>49.67</v>
      </c>
      <c r="E15" s="82">
        <f t="shared" si="15"/>
        <v>16</v>
      </c>
      <c r="F15" s="82">
        <f t="shared" si="16"/>
        <v>12</v>
      </c>
      <c r="G15" s="85"/>
      <c r="H15" s="85"/>
      <c r="I15" s="528">
        <v>151</v>
      </c>
      <c r="J15" s="528">
        <v>202</v>
      </c>
      <c r="K15" s="23">
        <f t="shared" si="19"/>
        <v>353</v>
      </c>
      <c r="L15" s="528">
        <v>131.1</v>
      </c>
      <c r="M15" s="82">
        <f t="shared" si="20"/>
        <v>282.10000000000002</v>
      </c>
      <c r="N15" s="528">
        <v>50</v>
      </c>
      <c r="O15" s="528">
        <v>591.03</v>
      </c>
      <c r="P15" s="133">
        <f t="shared" si="13"/>
        <v>0.4773023365988191</v>
      </c>
      <c r="Q15" s="528">
        <v>139</v>
      </c>
      <c r="R15" s="528">
        <v>131</v>
      </c>
      <c r="S15" s="84">
        <v>14274374</v>
      </c>
      <c r="T15" s="24">
        <f t="shared" si="17"/>
        <v>16617517</v>
      </c>
      <c r="U15" s="84">
        <v>4632218</v>
      </c>
      <c r="V15" s="84">
        <v>11985299</v>
      </c>
      <c r="W15" s="135">
        <f t="shared" si="14"/>
        <v>0.72124487671653958</v>
      </c>
    </row>
    <row r="16" spans="1:220">
      <c r="A16" s="15" t="s">
        <v>28</v>
      </c>
      <c r="B16" s="528">
        <v>41</v>
      </c>
      <c r="C16" s="528">
        <v>10.63</v>
      </c>
      <c r="D16" s="23">
        <f t="shared" si="18"/>
        <v>51.63</v>
      </c>
      <c r="E16" s="82">
        <f t="shared" si="15"/>
        <v>11</v>
      </c>
      <c r="F16" s="82">
        <f t="shared" si="16"/>
        <v>9</v>
      </c>
      <c r="G16" s="85"/>
      <c r="H16" s="85"/>
      <c r="I16" s="528">
        <v>146</v>
      </c>
      <c r="J16" s="528">
        <v>217</v>
      </c>
      <c r="K16" s="23">
        <f t="shared" si="19"/>
        <v>363</v>
      </c>
      <c r="L16" s="528">
        <v>138.69999999999999</v>
      </c>
      <c r="M16" s="82">
        <f t="shared" si="20"/>
        <v>284.7</v>
      </c>
      <c r="N16" s="528">
        <v>44</v>
      </c>
      <c r="O16" s="528">
        <v>453.65</v>
      </c>
      <c r="P16" s="133">
        <f t="shared" si="13"/>
        <v>0.62757632536096108</v>
      </c>
      <c r="Q16" s="528">
        <v>139</v>
      </c>
      <c r="R16" s="528">
        <v>64</v>
      </c>
      <c r="S16" s="84">
        <v>14244496</v>
      </c>
      <c r="T16" s="24">
        <f t="shared" si="17"/>
        <v>15723559</v>
      </c>
      <c r="U16" s="84">
        <v>5399901</v>
      </c>
      <c r="V16" s="84">
        <v>10323658</v>
      </c>
      <c r="W16" s="135">
        <f t="shared" si="14"/>
        <v>0.65657259911703192</v>
      </c>
    </row>
    <row r="17" spans="1:23">
      <c r="A17" s="15" t="s">
        <v>29</v>
      </c>
      <c r="B17" s="528">
        <v>38</v>
      </c>
      <c r="C17" s="528">
        <v>10.87</v>
      </c>
      <c r="D17" s="23">
        <f t="shared" si="18"/>
        <v>48.87</v>
      </c>
      <c r="E17" s="82">
        <f t="shared" si="15"/>
        <v>14</v>
      </c>
      <c r="F17" s="82">
        <f t="shared" si="16"/>
        <v>11</v>
      </c>
      <c r="G17" s="85"/>
      <c r="H17" s="85"/>
      <c r="I17" s="528">
        <v>143</v>
      </c>
      <c r="J17" s="528">
        <v>234</v>
      </c>
      <c r="K17" s="23">
        <f t="shared" si="19"/>
        <v>377</v>
      </c>
      <c r="L17" s="528">
        <v>144.56</v>
      </c>
      <c r="M17" s="82">
        <f t="shared" si="20"/>
        <v>287.56</v>
      </c>
      <c r="N17" s="528">
        <v>58</v>
      </c>
      <c r="O17" s="528">
        <v>543</v>
      </c>
      <c r="P17" s="133">
        <f t="shared" si="13"/>
        <v>0.5295764272559853</v>
      </c>
      <c r="Q17" s="528">
        <v>104</v>
      </c>
      <c r="R17" s="528">
        <v>71</v>
      </c>
      <c r="S17" s="84">
        <v>12431120</v>
      </c>
      <c r="T17" s="24">
        <f t="shared" si="17"/>
        <v>14142282</v>
      </c>
      <c r="U17" s="84">
        <v>4668338</v>
      </c>
      <c r="V17" s="84">
        <v>9473944</v>
      </c>
      <c r="W17" s="135">
        <f t="shared" si="14"/>
        <v>0.66990207096704757</v>
      </c>
    </row>
    <row r="18" spans="1:23">
      <c r="A18" s="15">
        <v>2007</v>
      </c>
      <c r="B18" s="528">
        <v>34</v>
      </c>
      <c r="C18" s="528">
        <v>10.17</v>
      </c>
      <c r="D18" s="23">
        <f t="shared" si="18"/>
        <v>44.17</v>
      </c>
      <c r="E18" s="82">
        <f t="shared" si="15"/>
        <v>16</v>
      </c>
      <c r="F18" s="82">
        <f t="shared" si="16"/>
        <v>12</v>
      </c>
      <c r="G18" s="85"/>
      <c r="H18" s="85"/>
      <c r="I18" s="528">
        <v>137</v>
      </c>
      <c r="J18" s="528">
        <v>233</v>
      </c>
      <c r="K18" s="23">
        <f t="shared" si="19"/>
        <v>370</v>
      </c>
      <c r="L18" s="528">
        <v>163.1</v>
      </c>
      <c r="M18" s="82">
        <f t="shared" si="20"/>
        <v>300.10000000000002</v>
      </c>
      <c r="N18" s="528">
        <v>47</v>
      </c>
      <c r="O18" s="528">
        <v>535</v>
      </c>
      <c r="P18" s="133">
        <f t="shared" si="13"/>
        <v>0.5609345794392524</v>
      </c>
      <c r="Q18" s="528">
        <v>122</v>
      </c>
      <c r="R18" s="528">
        <v>105</v>
      </c>
      <c r="S18" s="132">
        <v>10207500</v>
      </c>
      <c r="T18" s="24">
        <f t="shared" si="17"/>
        <v>10351800</v>
      </c>
      <c r="U18" s="132">
        <v>4610600</v>
      </c>
      <c r="V18" s="132">
        <v>5741200</v>
      </c>
      <c r="W18" s="135">
        <f t="shared" si="14"/>
        <v>0.55460886029482792</v>
      </c>
    </row>
    <row r="19" spans="1:23">
      <c r="A19" s="15">
        <v>2006</v>
      </c>
      <c r="B19" s="528">
        <v>31</v>
      </c>
      <c r="C19" s="528">
        <v>7</v>
      </c>
      <c r="D19" s="23">
        <f t="shared" si="18"/>
        <v>38</v>
      </c>
      <c r="E19" s="82">
        <f t="shared" si="15"/>
        <v>16</v>
      </c>
      <c r="F19" s="82">
        <f t="shared" si="16"/>
        <v>13</v>
      </c>
      <c r="G19" s="85"/>
      <c r="H19" s="85"/>
      <c r="I19" s="528">
        <v>132</v>
      </c>
      <c r="J19" s="528">
        <v>232</v>
      </c>
      <c r="K19" s="23">
        <f t="shared" si="19"/>
        <v>364</v>
      </c>
      <c r="L19" s="528">
        <v>167</v>
      </c>
      <c r="M19" s="82">
        <f t="shared" si="20"/>
        <v>299</v>
      </c>
      <c r="N19" s="528">
        <v>43</v>
      </c>
      <c r="O19" s="528">
        <v>507</v>
      </c>
      <c r="P19" s="133">
        <f t="shared" si="13"/>
        <v>0.58974358974358976</v>
      </c>
      <c r="Q19" s="528">
        <v>107</v>
      </c>
      <c r="R19" s="528">
        <v>81</v>
      </c>
      <c r="S19" s="132">
        <v>9184800</v>
      </c>
      <c r="T19" s="24">
        <f t="shared" si="17"/>
        <v>9448300</v>
      </c>
      <c r="U19" s="132">
        <v>4533000</v>
      </c>
      <c r="V19" s="132">
        <v>4915300</v>
      </c>
      <c r="W19" s="135">
        <f t="shared" si="14"/>
        <v>0.52023115269413545</v>
      </c>
    </row>
    <row r="20" spans="1:23">
      <c r="A20" s="15">
        <v>2005</v>
      </c>
      <c r="B20" s="528">
        <v>32</v>
      </c>
      <c r="C20" s="528">
        <v>9.5</v>
      </c>
      <c r="D20" s="23">
        <f t="shared" si="18"/>
        <v>41.5</v>
      </c>
      <c r="E20" s="82">
        <f t="shared" si="15"/>
        <v>15</v>
      </c>
      <c r="F20" s="82">
        <f t="shared" si="16"/>
        <v>12</v>
      </c>
      <c r="G20" s="85"/>
      <c r="H20" s="85"/>
      <c r="I20" s="528">
        <v>127</v>
      </c>
      <c r="J20" s="528">
        <v>212</v>
      </c>
      <c r="K20" s="23">
        <f t="shared" si="19"/>
        <v>339</v>
      </c>
      <c r="L20" s="528">
        <v>155.30000000000001</v>
      </c>
      <c r="M20" s="82">
        <f t="shared" si="20"/>
        <v>282.3</v>
      </c>
      <c r="N20" s="528">
        <v>26</v>
      </c>
      <c r="O20" s="528">
        <v>489.66</v>
      </c>
      <c r="P20" s="133">
        <f t="shared" si="13"/>
        <v>0.57652248498958458</v>
      </c>
      <c r="Q20" s="528">
        <v>208</v>
      </c>
      <c r="R20" s="528">
        <v>132</v>
      </c>
      <c r="S20" s="132">
        <v>8821200</v>
      </c>
      <c r="T20" s="24">
        <f t="shared" si="17"/>
        <v>8764000</v>
      </c>
      <c r="U20" s="132">
        <v>3830400</v>
      </c>
      <c r="V20" s="132">
        <v>4933600</v>
      </c>
      <c r="W20" s="135">
        <f t="shared" si="14"/>
        <v>0.56293929712460067</v>
      </c>
    </row>
    <row r="21" spans="1:23" ht="14.45" hidden="1" customHeight="1">
      <c r="A21" s="15">
        <v>2004</v>
      </c>
      <c r="B21" s="528">
        <v>31</v>
      </c>
      <c r="C21" s="528">
        <v>7</v>
      </c>
      <c r="D21" s="23">
        <f t="shared" si="18"/>
        <v>38</v>
      </c>
      <c r="E21" s="82">
        <f t="shared" si="15"/>
        <v>14</v>
      </c>
      <c r="F21" s="82">
        <f t="shared" si="16"/>
        <v>11</v>
      </c>
      <c r="G21" s="85"/>
      <c r="H21" s="85"/>
      <c r="I21" s="528">
        <v>130</v>
      </c>
      <c r="J21" s="528">
        <v>205</v>
      </c>
      <c r="K21" s="23">
        <f t="shared" si="19"/>
        <v>335</v>
      </c>
      <c r="L21" s="528">
        <v>129</v>
      </c>
      <c r="M21" s="82">
        <f t="shared" si="20"/>
        <v>259</v>
      </c>
      <c r="N21" s="528">
        <v>15</v>
      </c>
      <c r="O21" s="528">
        <v>436.1</v>
      </c>
      <c r="P21" s="133">
        <f t="shared" si="13"/>
        <v>0.593900481540931</v>
      </c>
      <c r="Q21" s="528">
        <v>101</v>
      </c>
      <c r="R21" s="528">
        <v>62</v>
      </c>
      <c r="S21" s="132">
        <v>7316900</v>
      </c>
      <c r="T21" s="24">
        <f t="shared" si="17"/>
        <v>7640500</v>
      </c>
      <c r="U21" s="132">
        <v>4346400</v>
      </c>
      <c r="V21" s="132">
        <v>3294100</v>
      </c>
      <c r="W21" s="135">
        <f t="shared" si="14"/>
        <v>0.43113670571297691</v>
      </c>
    </row>
    <row r="22" spans="1:23" ht="20.100000000000001" hidden="1" customHeight="1">
      <c r="A22" s="15">
        <v>2003</v>
      </c>
      <c r="B22" s="528">
        <v>27</v>
      </c>
      <c r="C22" s="528">
        <v>10</v>
      </c>
      <c r="D22" s="23">
        <f t="shared" si="18"/>
        <v>37</v>
      </c>
      <c r="E22" s="82">
        <f t="shared" si="15"/>
        <v>16</v>
      </c>
      <c r="F22" s="82">
        <f t="shared" si="16"/>
        <v>12</v>
      </c>
      <c r="G22" s="85"/>
      <c r="H22" s="85"/>
      <c r="I22" s="528">
        <v>145</v>
      </c>
      <c r="J22" s="528">
        <v>160</v>
      </c>
      <c r="K22" s="23">
        <f t="shared" si="19"/>
        <v>305</v>
      </c>
      <c r="L22" s="528">
        <v>132</v>
      </c>
      <c r="M22" s="82">
        <f t="shared" si="20"/>
        <v>277</v>
      </c>
      <c r="N22" s="528">
        <v>32</v>
      </c>
      <c r="O22" s="528">
        <v>435</v>
      </c>
      <c r="P22" s="56">
        <f t="shared" si="13"/>
        <v>0.63678160919540228</v>
      </c>
      <c r="Q22" s="528">
        <v>93</v>
      </c>
      <c r="R22" s="528">
        <v>72</v>
      </c>
      <c r="S22" s="132">
        <v>7640000</v>
      </c>
      <c r="T22" s="24">
        <f t="shared" si="17"/>
        <v>7757700</v>
      </c>
      <c r="U22" s="132">
        <v>4929400</v>
      </c>
      <c r="V22" s="132">
        <v>2828300</v>
      </c>
      <c r="W22" s="151">
        <f>(V22*100)/T22</f>
        <v>36.457970790311563</v>
      </c>
    </row>
    <row r="23" spans="1:23" ht="20.100000000000001" hidden="1" customHeight="1">
      <c r="A23" s="15">
        <v>2002</v>
      </c>
      <c r="B23" s="528">
        <v>28</v>
      </c>
      <c r="C23" s="528">
        <v>5</v>
      </c>
      <c r="D23" s="23">
        <f t="shared" si="18"/>
        <v>33</v>
      </c>
      <c r="E23" s="82">
        <f t="shared" si="15"/>
        <v>13</v>
      </c>
      <c r="F23" s="82">
        <f t="shared" si="16"/>
        <v>11</v>
      </c>
      <c r="G23" s="85"/>
      <c r="H23" s="85"/>
      <c r="I23" s="528">
        <v>142</v>
      </c>
      <c r="J23" s="528">
        <v>135</v>
      </c>
      <c r="K23" s="23">
        <f t="shared" si="19"/>
        <v>277</v>
      </c>
      <c r="L23" s="528">
        <f>ROUND(81.9, 0)</f>
        <v>82</v>
      </c>
      <c r="M23" s="82">
        <f t="shared" si="20"/>
        <v>224</v>
      </c>
      <c r="N23" s="528">
        <v>33</v>
      </c>
      <c r="O23" s="528">
        <f>ROUND(359.3, 0)</f>
        <v>359</v>
      </c>
      <c r="P23" s="56">
        <f t="shared" si="13"/>
        <v>0.62395543175487467</v>
      </c>
      <c r="Q23" s="528">
        <v>111</v>
      </c>
      <c r="R23" s="528">
        <v>20</v>
      </c>
      <c r="S23" s="132">
        <v>5647300</v>
      </c>
      <c r="T23" s="24">
        <f t="shared" si="17"/>
        <v>5590500</v>
      </c>
      <c r="U23" s="132">
        <v>4006500</v>
      </c>
      <c r="V23" s="132">
        <v>1584000</v>
      </c>
      <c r="W23" s="151">
        <f>(V23*100)/T23</f>
        <v>28.333780520525892</v>
      </c>
    </row>
    <row r="24" spans="1:23" ht="19.5" hidden="1" customHeight="1">
      <c r="A24" s="236"/>
      <c r="B24" s="237"/>
      <c r="C24" s="237"/>
      <c r="D24" s="183"/>
      <c r="E24" s="238"/>
      <c r="F24" s="238"/>
      <c r="I24" s="237"/>
      <c r="J24" s="237"/>
      <c r="K24" s="183"/>
      <c r="L24" s="237"/>
      <c r="M24" s="238"/>
      <c r="N24" s="239"/>
      <c r="O24" s="237"/>
      <c r="P24" s="238"/>
      <c r="Q24" s="237"/>
      <c r="R24" s="237"/>
      <c r="S24" s="240"/>
      <c r="T24" s="241"/>
      <c r="U24" s="240"/>
      <c r="V24" s="240"/>
      <c r="W24" s="238"/>
    </row>
    <row r="25" spans="1:23" ht="19.5" hidden="1" customHeight="1">
      <c r="A25" s="242"/>
      <c r="B25" s="243"/>
      <c r="C25" s="243"/>
      <c r="D25" s="528"/>
      <c r="E25" s="147"/>
      <c r="F25" s="147"/>
      <c r="I25" s="243"/>
      <c r="J25" s="243"/>
      <c r="K25" s="528"/>
      <c r="L25" s="243"/>
      <c r="M25" s="147"/>
      <c r="N25" s="244"/>
      <c r="O25" s="243"/>
      <c r="P25" s="147"/>
      <c r="Q25" s="243"/>
      <c r="R25" s="243"/>
      <c r="S25" s="245"/>
      <c r="T25" s="132"/>
      <c r="U25" s="245"/>
      <c r="V25" s="245"/>
      <c r="W25" s="147"/>
    </row>
    <row r="26" spans="1:23" ht="30" hidden="1" customHeight="1">
      <c r="A26" s="242"/>
      <c r="B26" s="243"/>
      <c r="C26" s="243"/>
      <c r="D26" s="528"/>
      <c r="E26" s="147"/>
      <c r="F26" s="147"/>
      <c r="I26" s="243"/>
      <c r="J26" s="243"/>
      <c r="K26" s="528"/>
      <c r="L26" s="244"/>
      <c r="M26" s="147"/>
      <c r="N26" s="244"/>
      <c r="O26" s="243"/>
      <c r="P26" s="147"/>
      <c r="Q26" s="243"/>
      <c r="R26" s="243"/>
      <c r="S26" s="245"/>
      <c r="T26" s="132"/>
      <c r="U26" s="245"/>
      <c r="V26" s="245"/>
      <c r="W26" s="147"/>
    </row>
    <row r="27" spans="1:23" ht="14.45" customHeight="1">
      <c r="A27" s="546" t="s">
        <v>232</v>
      </c>
      <c r="B27" s="538"/>
      <c r="C27" s="538"/>
      <c r="D27" s="538"/>
      <c r="E27" s="538"/>
      <c r="F27" s="538"/>
      <c r="G27" s="538"/>
      <c r="H27" s="538"/>
      <c r="I27" s="538"/>
      <c r="J27" s="538"/>
      <c r="K27" s="538"/>
      <c r="L27" s="538"/>
      <c r="M27" s="538"/>
      <c r="N27" s="538"/>
      <c r="O27" s="538"/>
      <c r="P27" s="538"/>
      <c r="Q27" s="538"/>
      <c r="R27" s="538"/>
      <c r="S27" s="538"/>
      <c r="T27" s="538"/>
      <c r="U27" s="538"/>
      <c r="V27" s="538"/>
      <c r="W27" s="538"/>
    </row>
    <row r="28" spans="1:23" s="12" customFormat="1">
      <c r="A28" s="539" t="s">
        <v>233</v>
      </c>
      <c r="B28" s="538"/>
      <c r="C28" s="538"/>
      <c r="D28" s="538"/>
      <c r="E28" s="538"/>
      <c r="F28" s="538"/>
      <c r="G28" s="538"/>
      <c r="H28" s="538"/>
      <c r="I28" s="538"/>
      <c r="J28" s="538"/>
      <c r="K28" s="538"/>
      <c r="L28" s="538"/>
      <c r="M28" s="538"/>
      <c r="N28" s="538"/>
      <c r="O28" s="538"/>
      <c r="P28" s="538"/>
      <c r="Q28" s="538"/>
      <c r="R28" s="538"/>
      <c r="S28" s="538"/>
      <c r="T28" s="538"/>
      <c r="U28" s="538"/>
      <c r="V28" s="538"/>
      <c r="W28" s="538"/>
    </row>
    <row r="29" spans="1:23" s="12" customFormat="1">
      <c r="A29" s="532" t="s">
        <v>234</v>
      </c>
      <c r="B29" s="532"/>
      <c r="C29" s="532"/>
      <c r="D29" s="532"/>
      <c r="E29" s="532"/>
      <c r="F29" s="532"/>
      <c r="G29" s="530"/>
      <c r="H29" s="530"/>
      <c r="I29" s="532"/>
      <c r="J29" s="532"/>
      <c r="K29" s="532"/>
      <c r="L29" s="532"/>
      <c r="M29" s="532"/>
      <c r="N29" s="532"/>
      <c r="O29" s="532"/>
      <c r="P29" s="532"/>
      <c r="Q29" s="532"/>
      <c r="R29" s="532"/>
      <c r="S29" s="532"/>
      <c r="T29" s="532"/>
      <c r="U29" s="532"/>
      <c r="V29" s="532"/>
      <c r="W29" s="532"/>
    </row>
    <row r="30" spans="1:23" s="12" customFormat="1">
      <c r="A30" s="12" t="s">
        <v>235</v>
      </c>
      <c r="G30"/>
      <c r="H30"/>
    </row>
    <row r="31" spans="1:23" s="12" customFormat="1">
      <c r="G31"/>
      <c r="H31"/>
    </row>
    <row r="32" spans="1:23" s="12" customFormat="1">
      <c r="G32"/>
      <c r="H32"/>
    </row>
    <row r="33" spans="7:8" s="12" customFormat="1">
      <c r="G33"/>
      <c r="H33"/>
    </row>
    <row r="34" spans="7:8" s="12" customFormat="1">
      <c r="G34"/>
      <c r="H34"/>
    </row>
    <row r="35" spans="7:8" s="12" customFormat="1">
      <c r="G35"/>
      <c r="H35"/>
    </row>
    <row r="36" spans="7:8" s="12" customFormat="1">
      <c r="G36"/>
      <c r="H36"/>
    </row>
    <row r="37" spans="7:8" s="12" customFormat="1">
      <c r="G37"/>
      <c r="H37"/>
    </row>
  </sheetData>
  <mergeCells count="2">
    <mergeCell ref="A27:W27"/>
    <mergeCell ref="A28:W28"/>
  </mergeCells>
  <printOptions headings="1" gridLines="1"/>
  <pageMargins left="0.5" right="0.5" top="0.5" bottom="0.5" header="0" footer="0"/>
  <pageSetup paperSize="5" scale="66" orientation="landscape" r:id="rId1"/>
  <legacyDrawing r:id="rId2"/>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HL33"/>
  <sheetViews>
    <sheetView workbookViewId="0">
      <selection activeCell="E25" sqref="E25"/>
    </sheetView>
  </sheetViews>
  <sheetFormatPr defaultColWidth="8.85546875" defaultRowHeight="15"/>
  <cols>
    <col min="1" max="1" width="9.8554687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customWidth="1"/>
    <col min="21" max="21" width="10.42578125" customWidth="1"/>
    <col min="22" max="22" width="10.85546875" customWidth="1"/>
    <col min="23" max="23" width="12.85546875" customWidth="1"/>
  </cols>
  <sheetData>
    <row r="1" spans="1:220" s="7" customFormat="1" ht="18.75">
      <c r="A1" s="1" t="s">
        <v>236</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80" customFormat="1" ht="12" customHeight="1">
      <c r="A3" s="105">
        <v>2022</v>
      </c>
      <c r="B3" s="295">
        <v>13</v>
      </c>
      <c r="C3" s="295">
        <v>8</v>
      </c>
      <c r="D3" s="65">
        <f t="shared" ref="D3" si="0">SUM(B3:C3)</f>
        <v>21</v>
      </c>
      <c r="E3" s="13">
        <f t="shared" ref="E3" si="1">ROUND((O3/B3), 0)</f>
        <v>22</v>
      </c>
      <c r="F3" s="13">
        <f t="shared" ref="F3" si="2">ROUND((O3/D3), 0)</f>
        <v>13</v>
      </c>
      <c r="G3" s="295">
        <v>13</v>
      </c>
      <c r="H3" s="295">
        <v>2</v>
      </c>
      <c r="I3" s="295">
        <v>60</v>
      </c>
      <c r="J3" s="295">
        <v>288</v>
      </c>
      <c r="K3" s="65">
        <f t="shared" ref="K3" si="3">SUM(I3:J3)</f>
        <v>348</v>
      </c>
      <c r="L3" s="295">
        <v>185</v>
      </c>
      <c r="M3" s="13">
        <f t="shared" ref="M3" si="4">(I3+L3)</f>
        <v>245</v>
      </c>
      <c r="N3" s="295">
        <v>85</v>
      </c>
      <c r="O3" s="295">
        <v>282</v>
      </c>
      <c r="P3" s="134">
        <f>M3/O3</f>
        <v>0.86879432624113473</v>
      </c>
      <c r="Q3" s="295">
        <v>112</v>
      </c>
      <c r="R3" s="295">
        <v>38</v>
      </c>
      <c r="S3" s="296">
        <v>3046269</v>
      </c>
      <c r="T3" s="24">
        <f>SUM(U3:V3)</f>
        <v>3046269</v>
      </c>
      <c r="U3" s="296">
        <v>2977019</v>
      </c>
      <c r="V3" s="296">
        <v>69250</v>
      </c>
      <c r="W3" s="135">
        <f t="shared" ref="W3" si="5">V3/T3</f>
        <v>2.2732726492637387E-2</v>
      </c>
    </row>
    <row r="4" spans="1:220" s="80" customFormat="1" ht="12" customHeight="1">
      <c r="A4" s="105">
        <v>2021</v>
      </c>
      <c r="B4" s="295">
        <v>13</v>
      </c>
      <c r="C4" s="295">
        <v>3</v>
      </c>
      <c r="D4" s="65">
        <f>SUM(B4:C4)</f>
        <v>16</v>
      </c>
      <c r="E4" s="13">
        <f t="shared" ref="E4" si="6">ROUND((O4/B4), 0)</f>
        <v>30</v>
      </c>
      <c r="F4" s="13">
        <f t="shared" ref="F4" si="7">ROUND((O4/D4), 0)</f>
        <v>24</v>
      </c>
      <c r="G4" s="295">
        <v>13</v>
      </c>
      <c r="H4" s="295">
        <v>3</v>
      </c>
      <c r="I4" s="295">
        <v>67</v>
      </c>
      <c r="J4" s="295">
        <v>300</v>
      </c>
      <c r="K4" s="65">
        <f t="shared" ref="K4" si="8">SUM(I4:J4)</f>
        <v>367</v>
      </c>
      <c r="L4" s="295">
        <v>195</v>
      </c>
      <c r="M4" s="13">
        <f>(I4+L4)</f>
        <v>262</v>
      </c>
      <c r="N4" s="295">
        <v>49</v>
      </c>
      <c r="O4" s="295">
        <v>389</v>
      </c>
      <c r="P4" s="134">
        <f t="shared" ref="P4" si="9">M4/O4</f>
        <v>0.67352185089974292</v>
      </c>
      <c r="Q4" s="295">
        <v>147</v>
      </c>
      <c r="R4" s="295">
        <v>29</v>
      </c>
      <c r="S4" s="296">
        <v>2578228</v>
      </c>
      <c r="T4" s="24">
        <f>SUM(U4:V4)</f>
        <v>2747932</v>
      </c>
      <c r="U4" s="296">
        <v>2657171</v>
      </c>
      <c r="V4" s="296">
        <v>90761</v>
      </c>
      <c r="W4" s="135">
        <f t="shared" ref="W4" si="10">V4/T4</f>
        <v>3.3028837685939824E-2</v>
      </c>
    </row>
    <row r="5" spans="1:220" s="80" customFormat="1" ht="12" customHeight="1">
      <c r="A5" s="105">
        <v>2020</v>
      </c>
      <c r="B5" s="295">
        <v>14</v>
      </c>
      <c r="C5" s="295">
        <v>3</v>
      </c>
      <c r="D5" s="65">
        <f>SUM(B5:C5)</f>
        <v>17</v>
      </c>
      <c r="E5" s="13">
        <f>ROUND((O5/B5), 0)</f>
        <v>21</v>
      </c>
      <c r="F5" s="13">
        <f>ROUND((O5/D5), 0)</f>
        <v>17</v>
      </c>
      <c r="G5" s="295">
        <v>14</v>
      </c>
      <c r="H5" s="295">
        <v>3</v>
      </c>
      <c r="I5" s="295">
        <v>70</v>
      </c>
      <c r="J5" s="295">
        <v>292</v>
      </c>
      <c r="K5" s="65">
        <f t="shared" ref="K5" si="11">SUM(I5:J5)</f>
        <v>362</v>
      </c>
      <c r="L5" s="295">
        <v>190</v>
      </c>
      <c r="M5" s="13">
        <f>(I5+L5)</f>
        <v>260</v>
      </c>
      <c r="N5" s="295">
        <v>50</v>
      </c>
      <c r="O5" s="295">
        <v>297</v>
      </c>
      <c r="P5" s="134">
        <f t="shared" ref="P5" si="12">M5/O5</f>
        <v>0.87542087542087543</v>
      </c>
      <c r="Q5" s="295">
        <v>139</v>
      </c>
      <c r="R5" s="295">
        <v>5</v>
      </c>
      <c r="S5" s="296">
        <v>2491315</v>
      </c>
      <c r="T5" s="24">
        <v>2491865</v>
      </c>
      <c r="U5" s="296">
        <v>2446615</v>
      </c>
      <c r="V5" s="296">
        <v>45250</v>
      </c>
      <c r="W5" s="135">
        <f t="shared" ref="W5" si="13">V5/T5</f>
        <v>1.8159089677811598E-2</v>
      </c>
    </row>
    <row r="6" spans="1:220" s="80" customFormat="1">
      <c r="A6" s="105">
        <v>2019</v>
      </c>
      <c r="B6" s="295">
        <v>14</v>
      </c>
      <c r="C6" s="295">
        <v>3</v>
      </c>
      <c r="D6" s="65">
        <f>SUM(B6:C6)</f>
        <v>17</v>
      </c>
      <c r="E6" s="13">
        <f>ROUND((O6/B6), 0)</f>
        <v>22</v>
      </c>
      <c r="F6" s="13">
        <f>ROUND((O6/D6), 0)</f>
        <v>18</v>
      </c>
      <c r="G6" s="295">
        <v>14</v>
      </c>
      <c r="H6" s="295">
        <v>8</v>
      </c>
      <c r="I6" s="295">
        <v>86</v>
      </c>
      <c r="J6" s="295">
        <v>330</v>
      </c>
      <c r="K6" s="65">
        <f>SUM(I6:J6)</f>
        <v>416</v>
      </c>
      <c r="L6" s="295">
        <v>208</v>
      </c>
      <c r="M6" s="13">
        <f>(I6+L6)</f>
        <v>294</v>
      </c>
      <c r="N6" s="295">
        <v>86</v>
      </c>
      <c r="O6" s="295">
        <v>306</v>
      </c>
      <c r="P6" s="134">
        <f>M6/O6</f>
        <v>0.96078431372549022</v>
      </c>
      <c r="Q6" s="295">
        <v>134</v>
      </c>
      <c r="R6" s="295">
        <v>43</v>
      </c>
      <c r="S6" s="296">
        <v>2942028</v>
      </c>
      <c r="T6" s="24">
        <f>SUM(U6:V6)</f>
        <v>2942028</v>
      </c>
      <c r="U6" s="296">
        <v>2915828</v>
      </c>
      <c r="V6" s="296">
        <v>26200</v>
      </c>
      <c r="W6" s="135">
        <f>V6/T6</f>
        <v>8.9054217023087478E-3</v>
      </c>
    </row>
    <row r="7" spans="1:220" s="14" customFormat="1">
      <c r="A7" s="10">
        <v>2018</v>
      </c>
      <c r="B7" s="17">
        <v>12</v>
      </c>
      <c r="C7" s="17">
        <v>8</v>
      </c>
      <c r="D7" s="23">
        <f>SUM(B7:C7)</f>
        <v>20</v>
      </c>
      <c r="E7" s="82">
        <f>ROUND((O7/B7), 0)</f>
        <v>25</v>
      </c>
      <c r="F7" s="82">
        <f>ROUND((O7/D7), 0)</f>
        <v>15</v>
      </c>
      <c r="G7" s="17">
        <v>12</v>
      </c>
      <c r="H7" s="17">
        <v>8</v>
      </c>
      <c r="I7" s="17">
        <v>85</v>
      </c>
      <c r="J7" s="17">
        <v>319</v>
      </c>
      <c r="K7" s="23">
        <f>SUM(I7:J7)</f>
        <v>404</v>
      </c>
      <c r="L7" s="17">
        <v>211</v>
      </c>
      <c r="M7" s="82">
        <f>(I7+L7)</f>
        <v>296</v>
      </c>
      <c r="N7" s="17">
        <v>83</v>
      </c>
      <c r="O7" s="17">
        <v>296</v>
      </c>
      <c r="P7" s="133">
        <f>M7/O7</f>
        <v>1</v>
      </c>
      <c r="Q7" s="17">
        <v>150</v>
      </c>
      <c r="R7" s="17">
        <v>0</v>
      </c>
      <c r="S7" s="20">
        <v>2887027</v>
      </c>
      <c r="T7" s="24">
        <f>SUM(U7:V7)</f>
        <v>2887027</v>
      </c>
      <c r="U7" s="20">
        <v>2853938</v>
      </c>
      <c r="V7" s="20">
        <v>33089</v>
      </c>
      <c r="W7" s="135">
        <f>V7/T7</f>
        <v>1.1461271404805013E-2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13</v>
      </c>
      <c r="C8" s="17">
        <v>5</v>
      </c>
      <c r="D8" s="27">
        <f>SUM(B8:C8)</f>
        <v>18</v>
      </c>
      <c r="E8" s="27">
        <f>ROUND((O8/B8), 0)</f>
        <v>18</v>
      </c>
      <c r="F8" s="27">
        <f>ROUND((O8/D8), 0)</f>
        <v>13</v>
      </c>
      <c r="G8" s="17">
        <v>13</v>
      </c>
      <c r="H8" s="17">
        <v>5</v>
      </c>
      <c r="I8" s="17">
        <v>100</v>
      </c>
      <c r="J8" s="17">
        <v>367</v>
      </c>
      <c r="K8" s="27">
        <f>SUM(I8:J8)</f>
        <v>467</v>
      </c>
      <c r="L8" s="17">
        <v>133</v>
      </c>
      <c r="M8" s="29">
        <f>(I8+L8)</f>
        <v>233</v>
      </c>
      <c r="N8" s="255">
        <v>101</v>
      </c>
      <c r="O8" s="255">
        <v>233</v>
      </c>
      <c r="P8" s="133">
        <f t="shared" ref="P8:P23" si="14">M8/O8</f>
        <v>1</v>
      </c>
      <c r="Q8" s="17">
        <v>145</v>
      </c>
      <c r="R8" s="17">
        <v>0</v>
      </c>
      <c r="S8" s="223">
        <v>2767454</v>
      </c>
      <c r="T8" s="28">
        <f>SUM(U8:V8)</f>
        <v>2767454</v>
      </c>
      <c r="U8" s="252">
        <v>2767454</v>
      </c>
      <c r="V8" s="20">
        <v>0</v>
      </c>
      <c r="W8" s="135">
        <f t="shared" ref="W8:W23" si="15">V8/T8</f>
        <v>0</v>
      </c>
    </row>
    <row r="9" spans="1:220" s="9" customFormat="1">
      <c r="A9" s="10">
        <v>2016</v>
      </c>
      <c r="B9" s="54">
        <v>12</v>
      </c>
      <c r="C9" s="54">
        <v>4</v>
      </c>
      <c r="D9" s="65">
        <f>B9+C9</f>
        <v>16</v>
      </c>
      <c r="E9" s="13">
        <f>ROUND((O9/B9), 0)</f>
        <v>19</v>
      </c>
      <c r="F9" s="13">
        <f>ROUND((O9/D9), 0)</f>
        <v>14</v>
      </c>
      <c r="G9" s="66">
        <v>12</v>
      </c>
      <c r="H9" s="66">
        <v>4</v>
      </c>
      <c r="I9" s="54">
        <v>90</v>
      </c>
      <c r="J9" s="54">
        <v>376</v>
      </c>
      <c r="K9" s="65">
        <f>I9+J9</f>
        <v>466</v>
      </c>
      <c r="L9" s="54">
        <v>136</v>
      </c>
      <c r="M9" s="13">
        <f>I9+L9</f>
        <v>226</v>
      </c>
      <c r="N9" s="54">
        <v>104</v>
      </c>
      <c r="O9" s="54">
        <v>226</v>
      </c>
      <c r="P9" s="133">
        <f t="shared" si="14"/>
        <v>1</v>
      </c>
      <c r="Q9" s="54">
        <v>187</v>
      </c>
      <c r="R9" s="54">
        <v>0</v>
      </c>
      <c r="S9" s="58">
        <v>2985109</v>
      </c>
      <c r="T9" s="68">
        <f>SUM(U9:V9)</f>
        <v>2985109</v>
      </c>
      <c r="U9" s="58">
        <v>2781962</v>
      </c>
      <c r="V9" s="58">
        <v>203147</v>
      </c>
      <c r="W9" s="135">
        <f t="shared" si="15"/>
        <v>6.8053461364392387E-2</v>
      </c>
    </row>
    <row r="10" spans="1:220" s="77" customFormat="1">
      <c r="A10" s="10">
        <v>2015</v>
      </c>
      <c r="B10" s="54">
        <v>12</v>
      </c>
      <c r="C10" s="54">
        <v>1.7</v>
      </c>
      <c r="D10" s="19">
        <v>13.7</v>
      </c>
      <c r="E10" s="19">
        <v>19.600000000000001</v>
      </c>
      <c r="F10" s="19">
        <v>17.2</v>
      </c>
      <c r="G10" s="83"/>
      <c r="H10" s="83"/>
      <c r="I10" s="54">
        <v>77</v>
      </c>
      <c r="J10" s="54">
        <v>360</v>
      </c>
      <c r="K10" s="19">
        <v>437</v>
      </c>
      <c r="L10" s="54">
        <v>158</v>
      </c>
      <c r="M10" s="19">
        <v>235</v>
      </c>
      <c r="N10" s="54">
        <v>96</v>
      </c>
      <c r="O10" s="54">
        <v>235</v>
      </c>
      <c r="P10" s="133">
        <f t="shared" si="14"/>
        <v>1</v>
      </c>
      <c r="Q10" s="54">
        <v>164</v>
      </c>
      <c r="R10" s="54">
        <v>35</v>
      </c>
      <c r="S10" s="78">
        <v>3027147</v>
      </c>
      <c r="T10" s="79">
        <v>3026966</v>
      </c>
      <c r="U10" s="78">
        <v>2740562</v>
      </c>
      <c r="V10" s="78">
        <v>286404</v>
      </c>
      <c r="W10" s="135">
        <f t="shared" si="15"/>
        <v>9.4617514699537428E-2</v>
      </c>
    </row>
    <row r="11" spans="1:220" s="16" customFormat="1">
      <c r="A11" s="15">
        <v>2014</v>
      </c>
      <c r="B11" s="70">
        <v>14</v>
      </c>
      <c r="C11" s="70">
        <v>2</v>
      </c>
      <c r="D11" s="65">
        <f>B11+C11</f>
        <v>16</v>
      </c>
      <c r="E11" s="13">
        <f t="shared" ref="E11:E23" si="16">ROUND((O11/B11), 0)</f>
        <v>25</v>
      </c>
      <c r="F11" s="13">
        <f t="shared" ref="F11:F23" si="17">ROUND((O11/D11), 0)</f>
        <v>22</v>
      </c>
      <c r="G11" s="83"/>
      <c r="H11" s="83"/>
      <c r="I11" s="70">
        <v>76</v>
      </c>
      <c r="J11" s="70">
        <v>398</v>
      </c>
      <c r="K11" s="65">
        <f>I11+J11</f>
        <v>474</v>
      </c>
      <c r="L11" s="70">
        <v>258</v>
      </c>
      <c r="M11" s="13">
        <f>I11+L11</f>
        <v>334</v>
      </c>
      <c r="N11" s="70">
        <v>74</v>
      </c>
      <c r="O11" s="70">
        <v>352</v>
      </c>
      <c r="P11" s="133">
        <f t="shared" si="14"/>
        <v>0.94886363636363635</v>
      </c>
      <c r="Q11" s="70">
        <v>162</v>
      </c>
      <c r="R11" s="70">
        <v>15</v>
      </c>
      <c r="S11" s="71">
        <v>2929816</v>
      </c>
      <c r="T11" s="68">
        <f t="shared" ref="T11:T23" si="18">SUM(U11:V11)</f>
        <v>2929813</v>
      </c>
      <c r="U11" s="71">
        <v>2772350</v>
      </c>
      <c r="V11" s="71">
        <v>157463</v>
      </c>
      <c r="W11" s="135">
        <f t="shared" si="15"/>
        <v>5.3745068371257823E-2</v>
      </c>
    </row>
    <row r="12" spans="1:220">
      <c r="A12" s="15">
        <v>2013</v>
      </c>
      <c r="B12" s="528">
        <v>14</v>
      </c>
      <c r="C12" s="528">
        <v>9</v>
      </c>
      <c r="D12" s="23">
        <f>B12+C12</f>
        <v>23</v>
      </c>
      <c r="E12" s="82">
        <f t="shared" si="16"/>
        <v>25</v>
      </c>
      <c r="F12" s="82">
        <f t="shared" si="17"/>
        <v>15</v>
      </c>
      <c r="G12" s="85"/>
      <c r="H12" s="85"/>
      <c r="I12" s="528">
        <v>112</v>
      </c>
      <c r="J12" s="528">
        <v>362</v>
      </c>
      <c r="K12" s="23">
        <f>I12+J12</f>
        <v>474</v>
      </c>
      <c r="L12" s="528">
        <v>235</v>
      </c>
      <c r="M12" s="82">
        <f>I12+L12</f>
        <v>347</v>
      </c>
      <c r="N12" s="528">
        <v>52</v>
      </c>
      <c r="O12" s="528">
        <v>347</v>
      </c>
      <c r="P12" s="133">
        <f t="shared" si="14"/>
        <v>1</v>
      </c>
      <c r="Q12" s="528">
        <v>186</v>
      </c>
      <c r="R12" s="528">
        <v>0</v>
      </c>
      <c r="S12" s="84">
        <v>3271070</v>
      </c>
      <c r="T12" s="24">
        <f t="shared" si="18"/>
        <v>3269080</v>
      </c>
      <c r="U12" s="84">
        <v>3037153</v>
      </c>
      <c r="V12" s="84">
        <v>231927</v>
      </c>
      <c r="W12" s="135">
        <f t="shared" si="15"/>
        <v>7.0945648316957682E-2</v>
      </c>
    </row>
    <row r="13" spans="1:220">
      <c r="A13" s="15">
        <v>2012</v>
      </c>
      <c r="B13" s="528">
        <v>14</v>
      </c>
      <c r="C13" s="528">
        <v>10.3</v>
      </c>
      <c r="D13" s="23">
        <f>B13+C13</f>
        <v>24.3</v>
      </c>
      <c r="E13" s="82">
        <f t="shared" si="16"/>
        <v>28</v>
      </c>
      <c r="F13" s="82">
        <f t="shared" si="17"/>
        <v>16</v>
      </c>
      <c r="G13" s="85"/>
      <c r="H13" s="85"/>
      <c r="I13" s="528">
        <v>136</v>
      </c>
      <c r="J13" s="528">
        <v>384</v>
      </c>
      <c r="K13" s="23">
        <f>I13+J13</f>
        <v>520</v>
      </c>
      <c r="L13" s="528">
        <v>247</v>
      </c>
      <c r="M13" s="82">
        <f>I13+L13</f>
        <v>383</v>
      </c>
      <c r="N13" s="528">
        <v>37</v>
      </c>
      <c r="O13" s="528">
        <v>390</v>
      </c>
      <c r="P13" s="133">
        <f t="shared" si="14"/>
        <v>0.982051282051282</v>
      </c>
      <c r="Q13" s="528">
        <v>182</v>
      </c>
      <c r="R13" s="528">
        <v>53</v>
      </c>
      <c r="S13" s="84">
        <v>2045077</v>
      </c>
      <c r="T13" s="24">
        <f t="shared" si="18"/>
        <v>3780595</v>
      </c>
      <c r="U13" s="84">
        <v>3394778</v>
      </c>
      <c r="V13" s="84">
        <v>385817</v>
      </c>
      <c r="W13" s="135">
        <f t="shared" si="15"/>
        <v>0.10205192568894579</v>
      </c>
    </row>
    <row r="14" spans="1:220">
      <c r="A14" s="15" t="s">
        <v>26</v>
      </c>
      <c r="B14" s="528">
        <v>13</v>
      </c>
      <c r="C14" s="528">
        <v>6</v>
      </c>
      <c r="D14" s="23">
        <f t="shared" ref="D14:D23" si="19">SUM(B14:C14)</f>
        <v>19</v>
      </c>
      <c r="E14" s="82">
        <f t="shared" si="16"/>
        <v>27</v>
      </c>
      <c r="F14" s="82">
        <f t="shared" si="17"/>
        <v>19</v>
      </c>
      <c r="G14" s="85"/>
      <c r="H14" s="85"/>
      <c r="I14" s="528">
        <v>113</v>
      </c>
      <c r="J14" s="528">
        <v>419</v>
      </c>
      <c r="K14" s="23">
        <f t="shared" ref="K14:K23" si="20">SUM(I14:J14)</f>
        <v>532</v>
      </c>
      <c r="L14" s="528">
        <v>232</v>
      </c>
      <c r="M14" s="82">
        <f t="shared" ref="M14:M23" si="21">(I14+L14)</f>
        <v>345</v>
      </c>
      <c r="N14" s="528">
        <v>63</v>
      </c>
      <c r="O14" s="528">
        <v>353.5</v>
      </c>
      <c r="P14" s="133">
        <f t="shared" si="14"/>
        <v>0.9759547383309759</v>
      </c>
      <c r="Q14" s="528">
        <v>220</v>
      </c>
      <c r="R14" s="528">
        <v>39</v>
      </c>
      <c r="S14" s="84">
        <v>3629831</v>
      </c>
      <c r="T14" s="24">
        <f t="shared" si="18"/>
        <v>3822100</v>
      </c>
      <c r="U14" s="84">
        <v>3713997</v>
      </c>
      <c r="V14" s="84">
        <v>108103</v>
      </c>
      <c r="W14" s="135">
        <f t="shared" si="15"/>
        <v>2.8283666047460819E-2</v>
      </c>
    </row>
    <row r="15" spans="1:220">
      <c r="A15" s="15" t="s">
        <v>27</v>
      </c>
      <c r="B15" s="528">
        <v>13</v>
      </c>
      <c r="C15" s="528">
        <v>4.5</v>
      </c>
      <c r="D15" s="23">
        <f t="shared" si="19"/>
        <v>17.5</v>
      </c>
      <c r="E15" s="82">
        <f t="shared" si="16"/>
        <v>33</v>
      </c>
      <c r="F15" s="82">
        <f t="shared" si="17"/>
        <v>25</v>
      </c>
      <c r="G15" s="85"/>
      <c r="H15" s="85"/>
      <c r="I15" s="528">
        <v>148</v>
      </c>
      <c r="J15" s="528">
        <v>434</v>
      </c>
      <c r="K15" s="23">
        <f t="shared" si="20"/>
        <v>582</v>
      </c>
      <c r="L15" s="528">
        <v>270</v>
      </c>
      <c r="M15" s="82">
        <f t="shared" si="21"/>
        <v>418</v>
      </c>
      <c r="N15" s="528">
        <v>47</v>
      </c>
      <c r="O15" s="528">
        <v>429.3</v>
      </c>
      <c r="P15" s="133">
        <f t="shared" si="14"/>
        <v>0.97367808059631955</v>
      </c>
      <c r="Q15" s="528">
        <v>180</v>
      </c>
      <c r="R15" s="528">
        <v>34</v>
      </c>
      <c r="S15" s="84">
        <v>3884891.5749599999</v>
      </c>
      <c r="T15" s="24">
        <f t="shared" si="18"/>
        <v>3989291.5749600008</v>
      </c>
      <c r="U15" s="84">
        <v>3828797.5749600008</v>
      </c>
      <c r="V15" s="84">
        <v>160494</v>
      </c>
      <c r="W15" s="135">
        <f t="shared" si="15"/>
        <v>4.0231203205949972E-2</v>
      </c>
    </row>
    <row r="16" spans="1:220">
      <c r="A16" s="15" t="s">
        <v>28</v>
      </c>
      <c r="B16" s="528">
        <v>18</v>
      </c>
      <c r="C16" s="528">
        <v>10.5</v>
      </c>
      <c r="D16" s="23">
        <f t="shared" si="19"/>
        <v>28.5</v>
      </c>
      <c r="E16" s="82">
        <f t="shared" si="16"/>
        <v>25</v>
      </c>
      <c r="F16" s="82">
        <f t="shared" si="17"/>
        <v>16</v>
      </c>
      <c r="G16" s="85"/>
      <c r="H16" s="85"/>
      <c r="I16" s="528">
        <v>134</v>
      </c>
      <c r="J16" s="528">
        <v>454</v>
      </c>
      <c r="K16" s="23">
        <f t="shared" si="20"/>
        <v>588</v>
      </c>
      <c r="L16" s="528">
        <v>284</v>
      </c>
      <c r="M16" s="82">
        <f t="shared" si="21"/>
        <v>418</v>
      </c>
      <c r="N16" s="528">
        <v>53</v>
      </c>
      <c r="O16" s="528">
        <v>453.97</v>
      </c>
      <c r="P16" s="133">
        <f t="shared" si="14"/>
        <v>0.92076568936273318</v>
      </c>
      <c r="Q16" s="528">
        <v>217</v>
      </c>
      <c r="R16" s="528">
        <v>38</v>
      </c>
      <c r="S16" s="84">
        <v>3509657</v>
      </c>
      <c r="T16" s="24">
        <f t="shared" si="18"/>
        <v>3509656.0251319986</v>
      </c>
      <c r="U16" s="84">
        <v>3424695.0251319986</v>
      </c>
      <c r="V16" s="84">
        <v>84961</v>
      </c>
      <c r="W16" s="135">
        <f t="shared" si="15"/>
        <v>2.4207785432991145E-2</v>
      </c>
    </row>
    <row r="17" spans="1:23">
      <c r="A17" s="15" t="s">
        <v>29</v>
      </c>
      <c r="B17" s="528">
        <v>17</v>
      </c>
      <c r="C17" s="528">
        <v>10</v>
      </c>
      <c r="D17" s="23">
        <f t="shared" si="19"/>
        <v>27</v>
      </c>
      <c r="E17" s="82">
        <f t="shared" si="16"/>
        <v>24</v>
      </c>
      <c r="F17" s="82">
        <f t="shared" si="17"/>
        <v>15</v>
      </c>
      <c r="G17" s="85"/>
      <c r="H17" s="85"/>
      <c r="I17" s="528">
        <v>143</v>
      </c>
      <c r="J17" s="528">
        <v>424</v>
      </c>
      <c r="K17" s="23">
        <f t="shared" si="20"/>
        <v>567</v>
      </c>
      <c r="L17" s="528">
        <v>238</v>
      </c>
      <c r="M17" s="82">
        <f t="shared" si="21"/>
        <v>381</v>
      </c>
      <c r="N17" s="528">
        <v>65</v>
      </c>
      <c r="O17" s="528">
        <v>415</v>
      </c>
      <c r="P17" s="133">
        <f t="shared" si="14"/>
        <v>0.91807228915662653</v>
      </c>
      <c r="Q17" s="528">
        <v>202</v>
      </c>
      <c r="R17" s="528">
        <v>29</v>
      </c>
      <c r="S17" s="84">
        <v>3133065</v>
      </c>
      <c r="T17" s="24">
        <f t="shared" si="18"/>
        <v>3133065</v>
      </c>
      <c r="U17" s="84">
        <v>3037139</v>
      </c>
      <c r="V17" s="84">
        <v>95926</v>
      </c>
      <c r="W17" s="135">
        <f t="shared" si="15"/>
        <v>3.0617302864766612E-2</v>
      </c>
    </row>
    <row r="18" spans="1:23">
      <c r="A18" s="15">
        <v>2007</v>
      </c>
      <c r="B18" s="528">
        <v>14</v>
      </c>
      <c r="C18" s="528">
        <v>4</v>
      </c>
      <c r="D18" s="23">
        <f t="shared" si="19"/>
        <v>18</v>
      </c>
      <c r="E18" s="82">
        <f t="shared" si="16"/>
        <v>27</v>
      </c>
      <c r="F18" s="82">
        <f t="shared" si="17"/>
        <v>21</v>
      </c>
      <c r="G18" s="85"/>
      <c r="H18" s="85"/>
      <c r="I18" s="528">
        <v>115</v>
      </c>
      <c r="J18" s="528">
        <v>413</v>
      </c>
      <c r="K18" s="23">
        <f t="shared" si="20"/>
        <v>528</v>
      </c>
      <c r="L18" s="528">
        <v>224</v>
      </c>
      <c r="M18" s="82">
        <f t="shared" si="21"/>
        <v>339</v>
      </c>
      <c r="N18" s="528">
        <v>67</v>
      </c>
      <c r="O18" s="528">
        <v>376</v>
      </c>
      <c r="P18" s="133">
        <f t="shared" si="14"/>
        <v>0.90159574468085102</v>
      </c>
      <c r="Q18" s="528">
        <v>202</v>
      </c>
      <c r="R18" s="528">
        <v>21</v>
      </c>
      <c r="S18" s="132">
        <v>3059866</v>
      </c>
      <c r="T18" s="24">
        <f t="shared" si="18"/>
        <v>3059866</v>
      </c>
      <c r="U18" s="132">
        <v>2561646</v>
      </c>
      <c r="V18" s="132">
        <v>498220</v>
      </c>
      <c r="W18" s="135">
        <f t="shared" si="15"/>
        <v>0.16282412367077512</v>
      </c>
    </row>
    <row r="19" spans="1:23">
      <c r="A19" s="15">
        <v>2006</v>
      </c>
      <c r="B19" s="528">
        <v>14</v>
      </c>
      <c r="C19" s="528">
        <v>5</v>
      </c>
      <c r="D19" s="23">
        <f t="shared" si="19"/>
        <v>19</v>
      </c>
      <c r="E19" s="82">
        <f t="shared" si="16"/>
        <v>24</v>
      </c>
      <c r="F19" s="82">
        <f t="shared" si="17"/>
        <v>18</v>
      </c>
      <c r="G19" s="85"/>
      <c r="H19" s="85"/>
      <c r="I19" s="528">
        <v>114</v>
      </c>
      <c r="J19" s="528">
        <v>411</v>
      </c>
      <c r="K19" s="23">
        <f t="shared" si="20"/>
        <v>525</v>
      </c>
      <c r="L19" s="528">
        <v>219</v>
      </c>
      <c r="M19" s="82">
        <f t="shared" si="21"/>
        <v>333</v>
      </c>
      <c r="N19" s="528">
        <v>70</v>
      </c>
      <c r="O19" s="528">
        <v>336</v>
      </c>
      <c r="P19" s="133">
        <f t="shared" si="14"/>
        <v>0.9910714285714286</v>
      </c>
      <c r="Q19" s="528">
        <v>237</v>
      </c>
      <c r="R19" s="528">
        <v>0</v>
      </c>
      <c r="S19" s="132">
        <v>2769408</v>
      </c>
      <c r="T19" s="24">
        <f t="shared" si="18"/>
        <v>2769408</v>
      </c>
      <c r="U19" s="132">
        <v>2365400</v>
      </c>
      <c r="V19" s="132">
        <v>404008</v>
      </c>
      <c r="W19" s="135">
        <f t="shared" si="15"/>
        <v>0.14588244130153449</v>
      </c>
    </row>
    <row r="20" spans="1:23">
      <c r="A20" s="15">
        <v>2005</v>
      </c>
      <c r="B20" s="528">
        <v>15</v>
      </c>
      <c r="C20" s="528">
        <v>4.5</v>
      </c>
      <c r="D20" s="23">
        <f t="shared" si="19"/>
        <v>19.5</v>
      </c>
      <c r="E20" s="82">
        <f t="shared" si="16"/>
        <v>24</v>
      </c>
      <c r="F20" s="82">
        <f t="shared" si="17"/>
        <v>18</v>
      </c>
      <c r="G20" s="85"/>
      <c r="H20" s="85"/>
      <c r="I20" s="528">
        <v>120</v>
      </c>
      <c r="J20" s="528">
        <v>443</v>
      </c>
      <c r="K20" s="23">
        <f t="shared" si="20"/>
        <v>563</v>
      </c>
      <c r="L20" s="528">
        <v>232.21</v>
      </c>
      <c r="M20" s="82">
        <f t="shared" si="21"/>
        <v>352.21000000000004</v>
      </c>
      <c r="N20" s="528">
        <v>89</v>
      </c>
      <c r="O20" s="528">
        <v>355.87</v>
      </c>
      <c r="P20" s="133">
        <f t="shared" si="14"/>
        <v>0.98971534549133122</v>
      </c>
      <c r="Q20" s="528">
        <v>202</v>
      </c>
      <c r="R20" s="528">
        <v>1</v>
      </c>
      <c r="S20" s="132">
        <v>2395851</v>
      </c>
      <c r="T20" s="24">
        <f t="shared" si="18"/>
        <v>2395852</v>
      </c>
      <c r="U20" s="132">
        <v>2250617</v>
      </c>
      <c r="V20" s="132">
        <v>145235</v>
      </c>
      <c r="W20" s="135">
        <f t="shared" si="15"/>
        <v>6.0619353783121832E-2</v>
      </c>
    </row>
    <row r="21" spans="1:23">
      <c r="A21" s="15">
        <v>2004</v>
      </c>
      <c r="B21" s="528">
        <v>12</v>
      </c>
      <c r="C21" s="528">
        <v>5</v>
      </c>
      <c r="D21" s="23">
        <f t="shared" si="19"/>
        <v>17</v>
      </c>
      <c r="E21" s="82">
        <f t="shared" si="16"/>
        <v>31</v>
      </c>
      <c r="F21" s="82">
        <f t="shared" si="17"/>
        <v>22</v>
      </c>
      <c r="G21" s="85"/>
      <c r="H21" s="85"/>
      <c r="I21" s="528">
        <v>134</v>
      </c>
      <c r="J21" s="528">
        <v>446</v>
      </c>
      <c r="K21" s="23">
        <f t="shared" si="20"/>
        <v>580</v>
      </c>
      <c r="L21" s="528">
        <v>231</v>
      </c>
      <c r="M21" s="82">
        <f t="shared" si="21"/>
        <v>365</v>
      </c>
      <c r="N21" s="528">
        <v>74</v>
      </c>
      <c r="O21" s="528">
        <v>371</v>
      </c>
      <c r="P21" s="133">
        <f t="shared" si="14"/>
        <v>0.98382749326145558</v>
      </c>
      <c r="Q21" s="528">
        <v>216</v>
      </c>
      <c r="R21" s="528">
        <v>1</v>
      </c>
      <c r="S21" s="132">
        <v>2171588</v>
      </c>
      <c r="T21" s="24">
        <f t="shared" si="18"/>
        <v>2171588</v>
      </c>
      <c r="U21" s="132">
        <v>2122569</v>
      </c>
      <c r="V21" s="132">
        <v>49019</v>
      </c>
      <c r="W21" s="135">
        <f t="shared" si="15"/>
        <v>2.257288214891591E-2</v>
      </c>
    </row>
    <row r="22" spans="1:23">
      <c r="A22" s="15">
        <v>2003</v>
      </c>
      <c r="B22" s="528">
        <v>12</v>
      </c>
      <c r="C22" s="528">
        <v>5</v>
      </c>
      <c r="D22" s="23">
        <f t="shared" si="19"/>
        <v>17</v>
      </c>
      <c r="E22" s="82">
        <f t="shared" si="16"/>
        <v>30</v>
      </c>
      <c r="F22" s="82">
        <f t="shared" si="17"/>
        <v>21</v>
      </c>
      <c r="G22" s="85"/>
      <c r="H22" s="85"/>
      <c r="I22" s="528">
        <v>120</v>
      </c>
      <c r="J22" s="528">
        <v>440</v>
      </c>
      <c r="K22" s="23">
        <f t="shared" si="20"/>
        <v>560</v>
      </c>
      <c r="L22" s="528">
        <v>220</v>
      </c>
      <c r="M22" s="82">
        <f t="shared" si="21"/>
        <v>340</v>
      </c>
      <c r="N22" s="528">
        <v>66</v>
      </c>
      <c r="O22" s="528">
        <v>354</v>
      </c>
      <c r="P22" s="133">
        <f t="shared" si="14"/>
        <v>0.96045197740112997</v>
      </c>
      <c r="Q22" s="528">
        <v>180</v>
      </c>
      <c r="R22" s="528">
        <v>0</v>
      </c>
      <c r="S22" s="132">
        <v>1993251</v>
      </c>
      <c r="T22" s="24">
        <f t="shared" si="18"/>
        <v>1995214</v>
      </c>
      <c r="U22" s="132">
        <v>1935268</v>
      </c>
      <c r="V22" s="132">
        <v>59946</v>
      </c>
      <c r="W22" s="135">
        <f t="shared" si="15"/>
        <v>3.0044897439572896E-2</v>
      </c>
    </row>
    <row r="23" spans="1:23">
      <c r="A23" s="15">
        <v>2002</v>
      </c>
      <c r="B23" s="528">
        <v>12</v>
      </c>
      <c r="C23" s="528">
        <v>4</v>
      </c>
      <c r="D23" s="23">
        <f t="shared" si="19"/>
        <v>16</v>
      </c>
      <c r="E23" s="82">
        <f t="shared" si="16"/>
        <v>28</v>
      </c>
      <c r="F23" s="82">
        <f t="shared" si="17"/>
        <v>21</v>
      </c>
      <c r="G23" s="85"/>
      <c r="H23" s="85"/>
      <c r="I23" s="528">
        <v>125</v>
      </c>
      <c r="J23" s="528">
        <v>412</v>
      </c>
      <c r="K23" s="23">
        <f t="shared" si="20"/>
        <v>537</v>
      </c>
      <c r="L23" s="528">
        <f>ROUND(202.96, 0)</f>
        <v>203</v>
      </c>
      <c r="M23" s="82">
        <f t="shared" si="21"/>
        <v>328</v>
      </c>
      <c r="N23" s="528">
        <v>63</v>
      </c>
      <c r="O23" s="528">
        <f>ROUND(332.92, 0)</f>
        <v>333</v>
      </c>
      <c r="P23" s="133">
        <f t="shared" si="14"/>
        <v>0.98498498498498499</v>
      </c>
      <c r="Q23" s="528">
        <v>168</v>
      </c>
      <c r="R23" s="528">
        <v>0</v>
      </c>
      <c r="S23" s="132">
        <v>1833546</v>
      </c>
      <c r="T23" s="24">
        <f t="shared" si="18"/>
        <v>1833546</v>
      </c>
      <c r="U23" s="132">
        <v>1776796</v>
      </c>
      <c r="V23" s="132">
        <v>56750</v>
      </c>
      <c r="W23" s="135">
        <f t="shared" si="15"/>
        <v>3.0950955143748779E-2</v>
      </c>
    </row>
    <row r="24" spans="1:23" s="12" customFormat="1">
      <c r="G24"/>
      <c r="H24"/>
    </row>
    <row r="25" spans="1:23" s="12" customFormat="1">
      <c r="G25"/>
      <c r="H25"/>
    </row>
    <row r="26" spans="1:23" s="12" customFormat="1">
      <c r="G26"/>
      <c r="H26"/>
    </row>
    <row r="27" spans="1:23" s="12" customFormat="1">
      <c r="G27"/>
      <c r="H27"/>
    </row>
    <row r="28" spans="1:23" s="12" customFormat="1">
      <c r="G28"/>
      <c r="H28"/>
    </row>
    <row r="29" spans="1:23" s="12" customFormat="1">
      <c r="G29"/>
      <c r="H29"/>
    </row>
    <row r="30" spans="1:23" s="12" customFormat="1">
      <c r="G30"/>
      <c r="H30"/>
    </row>
    <row r="31" spans="1:23" s="12" customFormat="1">
      <c r="G31"/>
      <c r="H31"/>
    </row>
    <row r="32" spans="1:23" s="12" customFormat="1">
      <c r="G32"/>
      <c r="H32"/>
    </row>
    <row r="33" spans="7:8" s="12" customFormat="1">
      <c r="G33"/>
      <c r="H33"/>
    </row>
  </sheetData>
  <printOptions headings="1" gridLines="1"/>
  <pageMargins left="0.5" right="0.5" top="0.5" bottom="0.5" header="0" footer="0"/>
  <pageSetup paperSize="5" scale="66" orientation="landscape"/>
  <legacyDrawing r:id="rId1"/>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HL32"/>
  <sheetViews>
    <sheetView zoomScaleNormal="100" workbookViewId="0">
      <selection activeCell="K25" sqref="K25"/>
    </sheetView>
  </sheetViews>
  <sheetFormatPr defaultColWidth="8.85546875" defaultRowHeight="15"/>
  <cols>
    <col min="1" max="1" width="9.425781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85546875" bestFit="1" customWidth="1"/>
    <col min="22" max="22" width="12.28515625" bestFit="1" customWidth="1"/>
    <col min="23" max="23" width="12.85546875" bestFit="1" customWidth="1"/>
  </cols>
  <sheetData>
    <row r="1" spans="1:220" s="7" customFormat="1" ht="18.75">
      <c r="A1" s="1" t="s">
        <v>237</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14" customFormat="1">
      <c r="A3" s="10">
        <v>2022</v>
      </c>
      <c r="B3" s="17">
        <v>42</v>
      </c>
      <c r="C3" s="17">
        <v>8.5</v>
      </c>
      <c r="D3" s="23">
        <f t="shared" ref="D3" si="0">SUM(B3:C3)</f>
        <v>50.5</v>
      </c>
      <c r="E3" s="82">
        <f t="shared" ref="E3" si="1">ROUND((O3/B3), 0)</f>
        <v>5</v>
      </c>
      <c r="F3" s="82">
        <f t="shared" ref="F3" si="2">ROUND((O3/D3), 0)</f>
        <v>5</v>
      </c>
      <c r="G3" s="17">
        <v>21</v>
      </c>
      <c r="H3" s="17">
        <v>8.5</v>
      </c>
      <c r="I3" s="17">
        <v>125</v>
      </c>
      <c r="J3" s="17">
        <v>81</v>
      </c>
      <c r="K3" s="23">
        <f t="shared" ref="K3" si="3">SUM(I3:J3)</f>
        <v>206</v>
      </c>
      <c r="L3" s="17">
        <v>24.3</v>
      </c>
      <c r="M3" s="82">
        <f t="shared" ref="M3" si="4">(I3+L3)</f>
        <v>149.30000000000001</v>
      </c>
      <c r="N3" s="284" t="s">
        <v>40</v>
      </c>
      <c r="O3" s="17">
        <v>230.9</v>
      </c>
      <c r="P3" s="133">
        <f>M3/O3</f>
        <v>0.64660025985275016</v>
      </c>
      <c r="Q3" s="17">
        <v>206</v>
      </c>
      <c r="R3" s="17">
        <v>61</v>
      </c>
      <c r="S3" s="20">
        <v>11839012</v>
      </c>
      <c r="T3" s="24">
        <f t="shared" ref="T3" si="5">SUM(U3:V3)</f>
        <v>11839012</v>
      </c>
      <c r="U3" s="361">
        <v>9360339</v>
      </c>
      <c r="V3" s="424">
        <v>2478673</v>
      </c>
      <c r="W3" s="135">
        <f t="shared" ref="W3" si="6">V3/T3</f>
        <v>0.20936485240491351</v>
      </c>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row>
    <row r="4" spans="1:220" s="14" customFormat="1">
      <c r="A4" s="10">
        <v>2021</v>
      </c>
      <c r="B4" s="17">
        <v>41</v>
      </c>
      <c r="C4" s="17">
        <v>9</v>
      </c>
      <c r="D4" s="23">
        <f t="shared" ref="D4" si="7">SUM(B4:C4)</f>
        <v>50</v>
      </c>
      <c r="E4" s="82">
        <f t="shared" ref="E4" si="8">ROUND((O4/B4), 0)</f>
        <v>6</v>
      </c>
      <c r="F4" s="82">
        <f t="shared" ref="F4" si="9">ROUND((O4/D4), 0)</f>
        <v>5</v>
      </c>
      <c r="G4" s="17">
        <v>15</v>
      </c>
      <c r="H4" s="17">
        <v>9</v>
      </c>
      <c r="I4" s="17">
        <v>133</v>
      </c>
      <c r="J4" s="17">
        <v>86</v>
      </c>
      <c r="K4" s="23">
        <f t="shared" ref="K4" si="10">SUM(I4:J4)</f>
        <v>219</v>
      </c>
      <c r="L4" s="17">
        <v>25.8</v>
      </c>
      <c r="M4" s="82">
        <f>(I4+L4)</f>
        <v>158.80000000000001</v>
      </c>
      <c r="N4" s="284" t="s">
        <v>40</v>
      </c>
      <c r="O4" s="17">
        <v>260</v>
      </c>
      <c r="P4" s="133">
        <f>M4/O4</f>
        <v>0.61076923076923084</v>
      </c>
      <c r="Q4" s="17">
        <v>113</v>
      </c>
      <c r="R4" s="17">
        <v>47</v>
      </c>
      <c r="S4" s="20">
        <v>11094377</v>
      </c>
      <c r="T4" s="24">
        <f t="shared" ref="T4" si="11">SUM(U4:V4)</f>
        <v>11094377</v>
      </c>
      <c r="U4" s="361">
        <v>9740220</v>
      </c>
      <c r="V4" s="424">
        <v>1354157</v>
      </c>
      <c r="W4" s="135">
        <f t="shared" ref="W4" si="12">V4/T4</f>
        <v>0.12205795782854684</v>
      </c>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row>
    <row r="5" spans="1:220" s="14" customFormat="1">
      <c r="A5" s="10">
        <v>2020</v>
      </c>
      <c r="B5" s="17">
        <v>42</v>
      </c>
      <c r="C5" s="17">
        <v>10.5</v>
      </c>
      <c r="D5" s="23">
        <f t="shared" ref="D5" si="13">SUM(B5:C5)</f>
        <v>52.5</v>
      </c>
      <c r="E5" s="82">
        <f t="shared" ref="E5" si="14">ROUND((O5/B5), 0)</f>
        <v>6</v>
      </c>
      <c r="F5" s="82">
        <f t="shared" ref="F5" si="15">ROUND((O5/D5), 0)</f>
        <v>5</v>
      </c>
      <c r="G5" s="17">
        <v>15</v>
      </c>
      <c r="H5" s="17">
        <v>10.5</v>
      </c>
      <c r="I5" s="17">
        <v>138</v>
      </c>
      <c r="J5" s="17">
        <v>81</v>
      </c>
      <c r="K5" s="23">
        <v>219</v>
      </c>
      <c r="L5" s="17">
        <v>27</v>
      </c>
      <c r="M5" s="82">
        <f>(I5+L5)</f>
        <v>165</v>
      </c>
      <c r="N5" s="284" t="s">
        <v>40</v>
      </c>
      <c r="O5" s="17">
        <v>260.3</v>
      </c>
      <c r="P5" s="133">
        <f>M5/O5</f>
        <v>0.63388398002305035</v>
      </c>
      <c r="Q5" s="17">
        <v>121</v>
      </c>
      <c r="R5" s="17">
        <v>43</v>
      </c>
      <c r="S5" s="20">
        <v>10638972</v>
      </c>
      <c r="T5" s="24">
        <f>SUM(U5:V5)</f>
        <v>10638972</v>
      </c>
      <c r="U5" s="361">
        <v>10454154</v>
      </c>
      <c r="V5" s="394">
        <v>184818</v>
      </c>
      <c r="W5" s="135">
        <f t="shared" ref="W5" si="16">V5/T5</f>
        <v>1.7371791184336231E-2</v>
      </c>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row>
    <row r="6" spans="1:220" s="14" customFormat="1">
      <c r="A6" s="10">
        <v>2019</v>
      </c>
      <c r="B6" s="17">
        <v>40</v>
      </c>
      <c r="C6" s="17">
        <v>10.5</v>
      </c>
      <c r="D6" s="23">
        <f t="shared" ref="D6" si="17">SUM(B6:C6)</f>
        <v>50.5</v>
      </c>
      <c r="E6" s="82">
        <f t="shared" ref="E6" si="18">ROUND((O6/B6), 0)</f>
        <v>6</v>
      </c>
      <c r="F6" s="82">
        <f t="shared" ref="F6" si="19">ROUND((O6/D6), 0)</f>
        <v>5</v>
      </c>
      <c r="G6" s="17">
        <v>15</v>
      </c>
      <c r="H6" s="17">
        <v>10.5</v>
      </c>
      <c r="I6" s="17">
        <v>148</v>
      </c>
      <c r="J6" s="17">
        <v>74</v>
      </c>
      <c r="K6" s="23">
        <f t="shared" ref="K6" si="20">SUM(I6:J6)</f>
        <v>222</v>
      </c>
      <c r="L6" s="17">
        <v>22.2</v>
      </c>
      <c r="M6" s="82">
        <f>(I6+L6)</f>
        <v>170.2</v>
      </c>
      <c r="N6" s="284" t="s">
        <v>40</v>
      </c>
      <c r="O6" s="17">
        <v>257.3</v>
      </c>
      <c r="P6" s="133">
        <f t="shared" ref="P6" si="21">M6/O6</f>
        <v>0.66148464827050124</v>
      </c>
      <c r="Q6" s="17">
        <v>125</v>
      </c>
      <c r="R6" s="17">
        <v>65</v>
      </c>
      <c r="S6" s="20">
        <v>10461436</v>
      </c>
      <c r="T6" s="24">
        <f>SUM(U6:V6)</f>
        <v>10461436</v>
      </c>
      <c r="U6" s="20">
        <v>10216814</v>
      </c>
      <c r="V6" s="20">
        <v>244622</v>
      </c>
      <c r="W6" s="135">
        <f t="shared" ref="W6" si="22">V6/T6</f>
        <v>2.3383214312069585E-2</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38</v>
      </c>
      <c r="C7" s="17">
        <v>6.75</v>
      </c>
      <c r="D7" s="23">
        <f>SUM(B7:C7)</f>
        <v>44.75</v>
      </c>
      <c r="E7" s="82">
        <f>ROUND((O7/B7), 0)</f>
        <v>7</v>
      </c>
      <c r="F7" s="82">
        <f>ROUND((O7/D7), 0)</f>
        <v>6</v>
      </c>
      <c r="G7" s="17">
        <v>15</v>
      </c>
      <c r="H7" s="17">
        <v>6.75</v>
      </c>
      <c r="I7" s="17">
        <v>147</v>
      </c>
      <c r="J7" s="17">
        <v>72</v>
      </c>
      <c r="K7" s="23">
        <f t="shared" ref="K7" si="23">SUM(I7:J7)</f>
        <v>219</v>
      </c>
      <c r="L7" s="17">
        <v>21.6</v>
      </c>
      <c r="M7" s="82">
        <f>(I7+L7)</f>
        <v>168.6</v>
      </c>
      <c r="N7" s="284" t="s">
        <v>40</v>
      </c>
      <c r="O7" s="17">
        <v>277</v>
      </c>
      <c r="P7" s="133">
        <f>M7/O7</f>
        <v>0.60866425992779782</v>
      </c>
      <c r="Q7" s="17">
        <v>115</v>
      </c>
      <c r="R7" s="17">
        <v>39</v>
      </c>
      <c r="S7" s="20">
        <v>9480876</v>
      </c>
      <c r="T7" s="24">
        <f>SUM(U7:V7)</f>
        <v>9480876</v>
      </c>
      <c r="U7" s="20">
        <v>9386878</v>
      </c>
      <c r="V7" s="20">
        <v>93998</v>
      </c>
      <c r="W7" s="135">
        <f>V7/T7</f>
        <v>9.9144846952960893E-3</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38</v>
      </c>
      <c r="C8" s="17">
        <v>8.75</v>
      </c>
      <c r="D8" s="27">
        <f>SUM(B8:C8)</f>
        <v>46.75</v>
      </c>
      <c r="E8" s="27">
        <f>ROUND((O8/B8), 0)</f>
        <v>7</v>
      </c>
      <c r="F8" s="27">
        <f>ROUND((O8/D8), 0)</f>
        <v>5</v>
      </c>
      <c r="G8" s="17">
        <v>15</v>
      </c>
      <c r="H8" s="17">
        <v>8.75</v>
      </c>
      <c r="I8" s="17">
        <v>154</v>
      </c>
      <c r="J8" s="17">
        <v>54</v>
      </c>
      <c r="K8" s="27">
        <f>SUM(I8:J8)</f>
        <v>208</v>
      </c>
      <c r="L8" s="17">
        <v>16.2</v>
      </c>
      <c r="M8" s="29">
        <f>(I8+L8)</f>
        <v>170.2</v>
      </c>
      <c r="N8" s="262" t="s">
        <v>40</v>
      </c>
      <c r="O8" s="255">
        <v>256.89999999999998</v>
      </c>
      <c r="P8" s="133">
        <f t="shared" ref="P8:P23" si="24">M8/O8</f>
        <v>0.66251459711950178</v>
      </c>
      <c r="Q8" s="17">
        <v>119</v>
      </c>
      <c r="R8" s="17">
        <v>45</v>
      </c>
      <c r="S8" s="223">
        <v>9326733</v>
      </c>
      <c r="T8" s="28">
        <f>SUM(U8:V8)</f>
        <v>9326733</v>
      </c>
      <c r="U8" s="252">
        <v>9238589</v>
      </c>
      <c r="V8" s="20">
        <v>88144</v>
      </c>
      <c r="W8" s="135">
        <f t="shared" ref="W8:W23" si="25">V8/T8</f>
        <v>9.4506833207297775E-3</v>
      </c>
    </row>
    <row r="9" spans="1:220" s="9" customFormat="1">
      <c r="A9" s="10">
        <v>2016</v>
      </c>
      <c r="B9" s="54">
        <v>39</v>
      </c>
      <c r="C9" s="54">
        <v>8.25</v>
      </c>
      <c r="D9" s="65">
        <f>B9+C9</f>
        <v>47.25</v>
      </c>
      <c r="E9" s="13">
        <f>ROUND((O9/B9), 0)</f>
        <v>6</v>
      </c>
      <c r="F9" s="13">
        <f>ROUND((O9/D9), 0)</f>
        <v>5</v>
      </c>
      <c r="G9" s="54">
        <v>15</v>
      </c>
      <c r="H9" s="54">
        <v>8.25</v>
      </c>
      <c r="I9" s="54">
        <v>140</v>
      </c>
      <c r="J9" s="54">
        <v>65</v>
      </c>
      <c r="K9" s="65">
        <f>I9+J9</f>
        <v>205</v>
      </c>
      <c r="L9" s="54">
        <v>19.5</v>
      </c>
      <c r="M9" s="13">
        <f>I9+L9</f>
        <v>159.5</v>
      </c>
      <c r="N9" s="65" t="s">
        <v>40</v>
      </c>
      <c r="O9" s="54">
        <v>241.9</v>
      </c>
      <c r="P9" s="133">
        <f t="shared" si="24"/>
        <v>0.65936337329474992</v>
      </c>
      <c r="Q9" s="54">
        <v>118</v>
      </c>
      <c r="R9" s="54">
        <v>49</v>
      </c>
      <c r="S9" s="55">
        <v>9373384</v>
      </c>
      <c r="T9" s="68">
        <f>SUM(U9:V9)</f>
        <v>9373384</v>
      </c>
      <c r="U9" s="55">
        <v>9283849</v>
      </c>
      <c r="V9" s="55">
        <v>89535</v>
      </c>
      <c r="W9" s="135">
        <f t="shared" si="25"/>
        <v>9.5520465180984789E-3</v>
      </c>
    </row>
    <row r="10" spans="1:220" s="16" customFormat="1">
      <c r="A10" s="57">
        <v>2015</v>
      </c>
      <c r="B10" s="70">
        <v>41</v>
      </c>
      <c r="C10" s="70">
        <v>7.75</v>
      </c>
      <c r="D10" s="65">
        <f>B10+C10</f>
        <v>48.75</v>
      </c>
      <c r="E10" s="65">
        <v>18.7</v>
      </c>
      <c r="F10" s="65">
        <v>11.7</v>
      </c>
      <c r="G10" s="83"/>
      <c r="H10" s="83"/>
      <c r="I10" s="70">
        <v>130</v>
      </c>
      <c r="J10" s="70">
        <v>65</v>
      </c>
      <c r="K10" s="65">
        <v>195</v>
      </c>
      <c r="L10" s="70">
        <v>20</v>
      </c>
      <c r="M10" s="65">
        <v>149.5</v>
      </c>
      <c r="N10" s="65" t="s">
        <v>40</v>
      </c>
      <c r="O10" s="70">
        <v>242.9</v>
      </c>
      <c r="P10" s="133">
        <f t="shared" si="24"/>
        <v>0.61547962124331002</v>
      </c>
      <c r="Q10" s="70">
        <v>129</v>
      </c>
      <c r="R10" s="70">
        <v>38</v>
      </c>
      <c r="S10" s="78">
        <v>9886254</v>
      </c>
      <c r="T10" s="79">
        <v>9870254</v>
      </c>
      <c r="U10" s="78">
        <v>8705933</v>
      </c>
      <c r="V10" s="78">
        <v>1164321</v>
      </c>
      <c r="W10" s="135">
        <f t="shared" si="25"/>
        <v>0.11796261778065691</v>
      </c>
    </row>
    <row r="11" spans="1:220" s="16" customFormat="1">
      <c r="A11" s="15">
        <v>2014</v>
      </c>
      <c r="B11" s="70">
        <v>39</v>
      </c>
      <c r="C11" s="70">
        <v>8.75</v>
      </c>
      <c r="D11" s="65">
        <f>B11+C11</f>
        <v>47.75</v>
      </c>
      <c r="E11" s="13">
        <f t="shared" ref="E11:E23" si="26">ROUND((O11/B11), 0)</f>
        <v>6</v>
      </c>
      <c r="F11" s="13">
        <f t="shared" ref="F11:F23" si="27">ROUND((O11/D11), 0)</f>
        <v>5</v>
      </c>
      <c r="G11" s="83"/>
      <c r="H11" s="83"/>
      <c r="I11" s="70">
        <v>134</v>
      </c>
      <c r="J11" s="70">
        <v>64</v>
      </c>
      <c r="K11" s="65">
        <f>I11+J11</f>
        <v>198</v>
      </c>
      <c r="L11" s="70">
        <v>19.2</v>
      </c>
      <c r="M11" s="13">
        <f>I11+L11</f>
        <v>153.19999999999999</v>
      </c>
      <c r="N11" s="65" t="s">
        <v>40</v>
      </c>
      <c r="O11" s="70">
        <v>248</v>
      </c>
      <c r="P11" s="133">
        <f t="shared" si="24"/>
        <v>0.61774193548387091</v>
      </c>
      <c r="Q11" s="70">
        <v>166</v>
      </c>
      <c r="R11" s="70">
        <v>48</v>
      </c>
      <c r="S11" s="71">
        <v>10402622</v>
      </c>
      <c r="T11" s="68">
        <f t="shared" ref="T11:T23" si="28">SUM(U11:V11)</f>
        <v>10402622</v>
      </c>
      <c r="U11" s="71">
        <v>9265532</v>
      </c>
      <c r="V11" s="71">
        <v>1137090</v>
      </c>
      <c r="W11" s="135">
        <f t="shared" si="25"/>
        <v>0.10930801868990338</v>
      </c>
    </row>
    <row r="12" spans="1:220">
      <c r="A12" s="15">
        <v>2013</v>
      </c>
      <c r="B12" s="528">
        <v>45</v>
      </c>
      <c r="C12" s="528">
        <v>13.75</v>
      </c>
      <c r="D12" s="23">
        <f>B12+C12</f>
        <v>58.75</v>
      </c>
      <c r="E12" s="82">
        <f t="shared" si="26"/>
        <v>6</v>
      </c>
      <c r="F12" s="82">
        <f t="shared" si="27"/>
        <v>5</v>
      </c>
      <c r="G12" s="85"/>
      <c r="H12" s="85"/>
      <c r="I12" s="528">
        <v>173</v>
      </c>
      <c r="J12" s="528">
        <v>82</v>
      </c>
      <c r="K12" s="23">
        <f>I12+J12</f>
        <v>255</v>
      </c>
      <c r="L12" s="528">
        <v>24.6</v>
      </c>
      <c r="M12" s="82">
        <f>I12+L12</f>
        <v>197.6</v>
      </c>
      <c r="N12" s="65" t="s">
        <v>40</v>
      </c>
      <c r="O12" s="528">
        <v>291.39999999999998</v>
      </c>
      <c r="P12" s="133">
        <f t="shared" si="24"/>
        <v>0.67810569663692521</v>
      </c>
      <c r="Q12" s="528">
        <v>186</v>
      </c>
      <c r="R12" s="528">
        <v>47</v>
      </c>
      <c r="S12" s="84">
        <v>10387091</v>
      </c>
      <c r="T12" s="24">
        <f t="shared" si="28"/>
        <v>10446900</v>
      </c>
      <c r="U12" s="84">
        <v>9449263</v>
      </c>
      <c r="V12" s="84">
        <v>997637</v>
      </c>
      <c r="W12" s="135">
        <f t="shared" si="25"/>
        <v>9.549598445471863E-2</v>
      </c>
    </row>
    <row r="13" spans="1:220">
      <c r="A13" s="15">
        <v>2012</v>
      </c>
      <c r="B13" s="528">
        <v>46</v>
      </c>
      <c r="C13" s="528">
        <v>11</v>
      </c>
      <c r="D13" s="23">
        <f>B13+C13</f>
        <v>57</v>
      </c>
      <c r="E13" s="82">
        <f t="shared" si="26"/>
        <v>7</v>
      </c>
      <c r="F13" s="82">
        <f t="shared" si="27"/>
        <v>6</v>
      </c>
      <c r="G13" s="85"/>
      <c r="H13" s="85"/>
      <c r="I13" s="528">
        <v>205</v>
      </c>
      <c r="J13" s="528">
        <v>86</v>
      </c>
      <c r="K13" s="23">
        <f>I13+J13</f>
        <v>291</v>
      </c>
      <c r="L13" s="528">
        <v>25.799999999999997</v>
      </c>
      <c r="M13" s="82">
        <f>I13+L13</f>
        <v>230.8</v>
      </c>
      <c r="N13" s="65" t="s">
        <v>40</v>
      </c>
      <c r="O13" s="528">
        <v>330.90000000000003</v>
      </c>
      <c r="P13" s="133">
        <f t="shared" si="24"/>
        <v>0.69749168933212446</v>
      </c>
      <c r="Q13" s="528">
        <v>173</v>
      </c>
      <c r="R13" s="528">
        <v>60</v>
      </c>
      <c r="S13" s="84">
        <v>9386296</v>
      </c>
      <c r="T13" s="24">
        <f t="shared" si="28"/>
        <v>10236651</v>
      </c>
      <c r="U13" s="84">
        <v>9247817</v>
      </c>
      <c r="V13" s="84">
        <v>988834</v>
      </c>
      <c r="W13" s="135">
        <f t="shared" si="25"/>
        <v>9.6597412571748323E-2</v>
      </c>
    </row>
    <row r="14" spans="1:220">
      <c r="A14" s="15" t="s">
        <v>26</v>
      </c>
      <c r="B14" s="528">
        <v>48</v>
      </c>
      <c r="C14" s="528">
        <v>9</v>
      </c>
      <c r="D14" s="23">
        <f t="shared" ref="D14:D23" si="29">SUM(B14:C14)</f>
        <v>57</v>
      </c>
      <c r="E14" s="82">
        <f t="shared" si="26"/>
        <v>7</v>
      </c>
      <c r="F14" s="82">
        <f t="shared" si="27"/>
        <v>6</v>
      </c>
      <c r="G14" s="85"/>
      <c r="H14" s="85"/>
      <c r="I14" s="528">
        <v>188</v>
      </c>
      <c r="J14" s="528">
        <v>90</v>
      </c>
      <c r="K14" s="23">
        <f t="shared" ref="K14:K23" si="30">SUM(I14:J14)</f>
        <v>278</v>
      </c>
      <c r="L14" s="528">
        <v>27</v>
      </c>
      <c r="M14" s="82">
        <f t="shared" ref="M14:M23" si="31">(I14+L14)</f>
        <v>215</v>
      </c>
      <c r="N14" s="65" t="s">
        <v>40</v>
      </c>
      <c r="O14" s="528">
        <v>314.8</v>
      </c>
      <c r="P14" s="133">
        <f t="shared" si="24"/>
        <v>0.68297331639135961</v>
      </c>
      <c r="Q14" s="528">
        <v>185</v>
      </c>
      <c r="R14" s="528">
        <v>37</v>
      </c>
      <c r="S14" s="84">
        <v>9582852</v>
      </c>
      <c r="T14" s="24">
        <f t="shared" si="28"/>
        <v>9644324</v>
      </c>
      <c r="U14" s="84">
        <v>8737638</v>
      </c>
      <c r="V14" s="84">
        <v>906686</v>
      </c>
      <c r="W14" s="135">
        <f t="shared" si="25"/>
        <v>9.4012395270005447E-2</v>
      </c>
    </row>
    <row r="15" spans="1:220">
      <c r="A15" s="15" t="s">
        <v>27</v>
      </c>
      <c r="B15" s="528">
        <v>50</v>
      </c>
      <c r="C15" s="528">
        <v>10.75</v>
      </c>
      <c r="D15" s="23">
        <f t="shared" si="29"/>
        <v>60.75</v>
      </c>
      <c r="E15" s="82">
        <f t="shared" si="26"/>
        <v>6</v>
      </c>
      <c r="F15" s="82">
        <f t="shared" si="27"/>
        <v>5</v>
      </c>
      <c r="G15" s="85"/>
      <c r="H15" s="85"/>
      <c r="I15" s="528">
        <v>202</v>
      </c>
      <c r="J15" s="528">
        <v>86</v>
      </c>
      <c r="K15" s="23">
        <f t="shared" si="30"/>
        <v>288</v>
      </c>
      <c r="L15" s="528">
        <v>25.8</v>
      </c>
      <c r="M15" s="82">
        <f t="shared" si="31"/>
        <v>227.8</v>
      </c>
      <c r="N15" s="65" t="s">
        <v>40</v>
      </c>
      <c r="O15" s="528">
        <v>300.7</v>
      </c>
      <c r="P15" s="133">
        <f t="shared" si="24"/>
        <v>0.75756568007981384</v>
      </c>
      <c r="Q15" s="528">
        <v>170</v>
      </c>
      <c r="R15" s="528">
        <v>45</v>
      </c>
      <c r="S15" s="84">
        <v>9209127.1899999995</v>
      </c>
      <c r="T15" s="24">
        <f t="shared" si="28"/>
        <v>9209127</v>
      </c>
      <c r="U15" s="84">
        <v>8372656</v>
      </c>
      <c r="V15" s="84">
        <v>836471</v>
      </c>
      <c r="W15" s="135">
        <f t="shared" si="25"/>
        <v>9.0830650940094543E-2</v>
      </c>
    </row>
    <row r="16" spans="1:220">
      <c r="A16" s="15" t="s">
        <v>28</v>
      </c>
      <c r="B16" s="528">
        <v>49</v>
      </c>
      <c r="C16" s="528">
        <v>10.5</v>
      </c>
      <c r="D16" s="23">
        <f t="shared" si="29"/>
        <v>59.5</v>
      </c>
      <c r="E16" s="82">
        <f t="shared" si="26"/>
        <v>6</v>
      </c>
      <c r="F16" s="82">
        <f t="shared" si="27"/>
        <v>5</v>
      </c>
      <c r="G16" s="85"/>
      <c r="H16" s="85"/>
      <c r="I16" s="528">
        <v>198</v>
      </c>
      <c r="J16" s="528">
        <v>80</v>
      </c>
      <c r="K16" s="23">
        <f t="shared" si="30"/>
        <v>278</v>
      </c>
      <c r="L16" s="528">
        <v>24</v>
      </c>
      <c r="M16" s="82">
        <f t="shared" si="31"/>
        <v>222</v>
      </c>
      <c r="N16" s="65" t="s">
        <v>40</v>
      </c>
      <c r="O16" s="528">
        <v>294.5</v>
      </c>
      <c r="P16" s="133">
        <f t="shared" si="24"/>
        <v>0.75382003395585739</v>
      </c>
      <c r="Q16" s="528">
        <v>204</v>
      </c>
      <c r="R16" s="528">
        <v>50</v>
      </c>
      <c r="S16" s="84">
        <v>8688962.8499999996</v>
      </c>
      <c r="T16" s="24">
        <f t="shared" si="28"/>
        <v>8688963</v>
      </c>
      <c r="U16" s="84">
        <v>8154824</v>
      </c>
      <c r="V16" s="84">
        <v>534139</v>
      </c>
      <c r="W16" s="135">
        <f t="shared" si="25"/>
        <v>6.1473273623100941E-2</v>
      </c>
    </row>
    <row r="17" spans="1:23">
      <c r="A17" s="15" t="s">
        <v>29</v>
      </c>
      <c r="B17" s="528">
        <v>49</v>
      </c>
      <c r="C17" s="528">
        <v>10</v>
      </c>
      <c r="D17" s="23">
        <f t="shared" si="29"/>
        <v>59</v>
      </c>
      <c r="E17" s="82">
        <f t="shared" si="26"/>
        <v>6</v>
      </c>
      <c r="F17" s="82">
        <f t="shared" si="27"/>
        <v>5</v>
      </c>
      <c r="G17" s="85"/>
      <c r="H17" s="85"/>
      <c r="I17" s="528">
        <v>207</v>
      </c>
      <c r="J17" s="528">
        <v>92</v>
      </c>
      <c r="K17" s="23">
        <f t="shared" si="30"/>
        <v>299</v>
      </c>
      <c r="L17" s="528">
        <v>27.6</v>
      </c>
      <c r="M17" s="82">
        <f t="shared" si="31"/>
        <v>234.6</v>
      </c>
      <c r="N17" s="65" t="s">
        <v>40</v>
      </c>
      <c r="O17" s="528">
        <v>317</v>
      </c>
      <c r="P17" s="133">
        <f t="shared" si="24"/>
        <v>0.74006309148264982</v>
      </c>
      <c r="Q17" s="528">
        <v>165</v>
      </c>
      <c r="R17" s="528">
        <v>46</v>
      </c>
      <c r="S17" s="84">
        <v>8401482.6600000001</v>
      </c>
      <c r="T17" s="24">
        <f t="shared" si="28"/>
        <v>8401483</v>
      </c>
      <c r="U17" s="84">
        <v>7714953</v>
      </c>
      <c r="V17" s="84">
        <v>686530</v>
      </c>
      <c r="W17" s="135">
        <f t="shared" si="25"/>
        <v>8.1715335256882626E-2</v>
      </c>
    </row>
    <row r="18" spans="1:23">
      <c r="A18" s="15">
        <v>2007</v>
      </c>
      <c r="B18" s="528">
        <v>49</v>
      </c>
      <c r="C18" s="528">
        <v>10</v>
      </c>
      <c r="D18" s="23">
        <f t="shared" si="29"/>
        <v>59</v>
      </c>
      <c r="E18" s="82">
        <f t="shared" si="26"/>
        <v>6</v>
      </c>
      <c r="F18" s="82">
        <f t="shared" si="27"/>
        <v>5</v>
      </c>
      <c r="G18" s="85"/>
      <c r="H18" s="85"/>
      <c r="I18" s="528">
        <v>196</v>
      </c>
      <c r="J18" s="528">
        <v>79</v>
      </c>
      <c r="K18" s="23">
        <f t="shared" si="30"/>
        <v>275</v>
      </c>
      <c r="L18" s="528">
        <v>26.4</v>
      </c>
      <c r="M18" s="82">
        <f t="shared" si="31"/>
        <v>222.4</v>
      </c>
      <c r="N18" s="65" t="s">
        <v>40</v>
      </c>
      <c r="O18" s="528">
        <v>305</v>
      </c>
      <c r="P18" s="133">
        <f t="shared" si="24"/>
        <v>0.72918032786885245</v>
      </c>
      <c r="Q18" s="528">
        <v>129</v>
      </c>
      <c r="R18" s="528">
        <v>50</v>
      </c>
      <c r="S18" s="179">
        <v>7038970</v>
      </c>
      <c r="T18" s="24">
        <f t="shared" si="28"/>
        <v>7038970</v>
      </c>
      <c r="U18" s="179">
        <v>6492931</v>
      </c>
      <c r="V18" s="179">
        <v>546039</v>
      </c>
      <c r="W18" s="135">
        <f t="shared" si="25"/>
        <v>7.7573707516866819E-2</v>
      </c>
    </row>
    <row r="19" spans="1:23">
      <c r="A19" s="15">
        <v>2006</v>
      </c>
      <c r="B19" s="528">
        <v>43</v>
      </c>
      <c r="C19" s="528">
        <v>8</v>
      </c>
      <c r="D19" s="23">
        <f t="shared" si="29"/>
        <v>51</v>
      </c>
      <c r="E19" s="82">
        <f t="shared" si="26"/>
        <v>6</v>
      </c>
      <c r="F19" s="82">
        <f t="shared" si="27"/>
        <v>5</v>
      </c>
      <c r="G19" s="85"/>
      <c r="H19" s="85"/>
      <c r="I19" s="528">
        <v>154</v>
      </c>
      <c r="J19" s="528">
        <v>66</v>
      </c>
      <c r="K19" s="23">
        <f t="shared" si="30"/>
        <v>220</v>
      </c>
      <c r="L19" s="528">
        <v>22</v>
      </c>
      <c r="M19" s="82">
        <f t="shared" si="31"/>
        <v>176</v>
      </c>
      <c r="N19" s="65" t="s">
        <v>40</v>
      </c>
      <c r="O19" s="528">
        <v>252</v>
      </c>
      <c r="P19" s="133">
        <f t="shared" si="24"/>
        <v>0.69841269841269837</v>
      </c>
      <c r="Q19" s="528">
        <v>160</v>
      </c>
      <c r="R19" s="528">
        <v>55</v>
      </c>
      <c r="S19" s="132">
        <v>5841249.6100000003</v>
      </c>
      <c r="T19" s="24">
        <f t="shared" si="28"/>
        <v>5841249.6099999994</v>
      </c>
      <c r="U19" s="132">
        <v>5241435.67</v>
      </c>
      <c r="V19" s="132">
        <v>599813.93999999994</v>
      </c>
      <c r="W19" s="135">
        <f t="shared" si="25"/>
        <v>0.10268589429445732</v>
      </c>
    </row>
    <row r="20" spans="1:23">
      <c r="A20" s="15">
        <v>2005</v>
      </c>
      <c r="B20" s="528">
        <v>40</v>
      </c>
      <c r="C20" s="528">
        <v>3.75</v>
      </c>
      <c r="D20" s="23">
        <f t="shared" si="29"/>
        <v>43.75</v>
      </c>
      <c r="E20" s="82">
        <f t="shared" si="26"/>
        <v>7</v>
      </c>
      <c r="F20" s="82">
        <f t="shared" si="27"/>
        <v>6</v>
      </c>
      <c r="G20" s="85"/>
      <c r="H20" s="85"/>
      <c r="I20" s="528">
        <v>168</v>
      </c>
      <c r="J20" s="528">
        <v>64</v>
      </c>
      <c r="K20" s="23">
        <f t="shared" si="30"/>
        <v>232</v>
      </c>
      <c r="L20" s="528">
        <v>21.4</v>
      </c>
      <c r="M20" s="82">
        <f t="shared" si="31"/>
        <v>189.4</v>
      </c>
      <c r="N20" s="65" t="s">
        <v>40</v>
      </c>
      <c r="O20" s="528">
        <v>278.7</v>
      </c>
      <c r="P20" s="133">
        <f t="shared" si="24"/>
        <v>0.67958378184427704</v>
      </c>
      <c r="Q20" s="528">
        <v>112</v>
      </c>
      <c r="R20" s="528">
        <v>49</v>
      </c>
      <c r="S20" s="132">
        <v>5728373</v>
      </c>
      <c r="T20" s="24">
        <f t="shared" si="28"/>
        <v>5728373</v>
      </c>
      <c r="U20" s="132">
        <v>5333181</v>
      </c>
      <c r="V20" s="132">
        <v>395192</v>
      </c>
      <c r="W20" s="135">
        <f t="shared" si="25"/>
        <v>6.8988524315717573E-2</v>
      </c>
    </row>
    <row r="21" spans="1:23">
      <c r="A21" s="15">
        <v>2004</v>
      </c>
      <c r="B21" s="528">
        <v>40</v>
      </c>
      <c r="C21" s="528">
        <v>4</v>
      </c>
      <c r="D21" s="23">
        <f t="shared" si="29"/>
        <v>44</v>
      </c>
      <c r="E21" s="82">
        <f t="shared" si="26"/>
        <v>25</v>
      </c>
      <c r="F21" s="82">
        <f t="shared" si="27"/>
        <v>23</v>
      </c>
      <c r="G21" s="85"/>
      <c r="H21" s="85"/>
      <c r="I21" s="528">
        <v>134</v>
      </c>
      <c r="J21" s="528">
        <v>62</v>
      </c>
      <c r="K21" s="23">
        <f t="shared" si="30"/>
        <v>196</v>
      </c>
      <c r="L21" s="528">
        <v>21</v>
      </c>
      <c r="M21" s="82">
        <f t="shared" si="31"/>
        <v>155</v>
      </c>
      <c r="N21" s="65" t="s">
        <v>40</v>
      </c>
      <c r="O21" s="528">
        <v>1000</v>
      </c>
      <c r="P21" s="133">
        <f t="shared" si="24"/>
        <v>0.155</v>
      </c>
      <c r="Q21" s="528">
        <v>115</v>
      </c>
      <c r="R21" s="528">
        <v>39</v>
      </c>
      <c r="S21" s="132">
        <v>5553950</v>
      </c>
      <c r="T21" s="24">
        <f t="shared" si="28"/>
        <v>5553950</v>
      </c>
      <c r="U21" s="132">
        <v>5174920</v>
      </c>
      <c r="V21" s="132">
        <v>379030</v>
      </c>
      <c r="W21" s="135">
        <f t="shared" si="25"/>
        <v>6.824512284050091E-2</v>
      </c>
    </row>
    <row r="22" spans="1:23">
      <c r="A22" s="15">
        <v>2003</v>
      </c>
      <c r="B22" s="528">
        <v>38</v>
      </c>
      <c r="C22" s="528">
        <v>4</v>
      </c>
      <c r="D22" s="23">
        <f t="shared" si="29"/>
        <v>42</v>
      </c>
      <c r="E22" s="82">
        <f t="shared" si="26"/>
        <v>5</v>
      </c>
      <c r="F22" s="82">
        <f t="shared" si="27"/>
        <v>5</v>
      </c>
      <c r="G22" s="85"/>
      <c r="H22" s="85"/>
      <c r="I22" s="528">
        <v>116</v>
      </c>
      <c r="J22" s="528">
        <v>54</v>
      </c>
      <c r="K22" s="23">
        <f t="shared" si="30"/>
        <v>170</v>
      </c>
      <c r="L22" s="528">
        <v>18</v>
      </c>
      <c r="M22" s="82">
        <f t="shared" si="31"/>
        <v>134</v>
      </c>
      <c r="N22" s="65" t="s">
        <v>40</v>
      </c>
      <c r="O22" s="528">
        <v>206</v>
      </c>
      <c r="P22" s="133">
        <f t="shared" si="24"/>
        <v>0.65048543689320393</v>
      </c>
      <c r="Q22" s="528">
        <v>90</v>
      </c>
      <c r="R22" s="528">
        <v>37</v>
      </c>
      <c r="S22" s="132">
        <v>4512948</v>
      </c>
      <c r="T22" s="24">
        <f t="shared" si="28"/>
        <v>4512948</v>
      </c>
      <c r="U22" s="132">
        <v>4377301</v>
      </c>
      <c r="V22" s="132">
        <v>135647</v>
      </c>
      <c r="W22" s="135">
        <f t="shared" si="25"/>
        <v>3.0057292926929359E-2</v>
      </c>
    </row>
    <row r="23" spans="1:23">
      <c r="A23" s="15">
        <v>2002</v>
      </c>
      <c r="B23" s="528">
        <v>33</v>
      </c>
      <c r="C23" s="528">
        <v>2</v>
      </c>
      <c r="D23" s="23">
        <f t="shared" si="29"/>
        <v>35</v>
      </c>
      <c r="E23" s="82">
        <f t="shared" si="26"/>
        <v>6</v>
      </c>
      <c r="F23" s="82">
        <f t="shared" si="27"/>
        <v>5</v>
      </c>
      <c r="G23" s="85"/>
      <c r="H23" s="85"/>
      <c r="I23" s="528">
        <v>120</v>
      </c>
      <c r="J23" s="528">
        <v>43</v>
      </c>
      <c r="K23" s="23">
        <f t="shared" si="30"/>
        <v>163</v>
      </c>
      <c r="L23" s="528">
        <f>ROUND(14.4, 0)</f>
        <v>14</v>
      </c>
      <c r="M23" s="82">
        <f t="shared" si="31"/>
        <v>134</v>
      </c>
      <c r="N23" s="65" t="s">
        <v>40</v>
      </c>
      <c r="O23" s="528">
        <f>ROUND(191.4, 0)</f>
        <v>191</v>
      </c>
      <c r="P23" s="133">
        <f t="shared" si="24"/>
        <v>0.70157068062827221</v>
      </c>
      <c r="Q23" s="528">
        <v>99</v>
      </c>
      <c r="R23" s="528">
        <v>41</v>
      </c>
      <c r="S23" s="132">
        <v>4258580</v>
      </c>
      <c r="T23" s="24">
        <f t="shared" si="28"/>
        <v>4258580</v>
      </c>
      <c r="U23" s="132">
        <v>3926211</v>
      </c>
      <c r="V23" s="132">
        <v>332369</v>
      </c>
      <c r="W23" s="135">
        <f t="shared" si="25"/>
        <v>7.8046907654664224E-2</v>
      </c>
    </row>
    <row r="24" spans="1:23" s="12" customFormat="1"/>
    <row r="25" spans="1:23" s="12" customFormat="1"/>
    <row r="26" spans="1:23" s="12" customFormat="1"/>
    <row r="27" spans="1:23" s="12" customFormat="1"/>
    <row r="28" spans="1:23" s="12" customFormat="1"/>
    <row r="29" spans="1:23" s="12" customFormat="1"/>
    <row r="30" spans="1:23" s="12" customFormat="1"/>
    <row r="31" spans="1:23" s="12" customFormat="1"/>
    <row r="32" spans="1:23" s="12" customFormat="1"/>
  </sheetData>
  <printOptions headings="1" gridLines="1"/>
  <pageMargins left="0.5" right="0.5" top="0.5" bottom="0.5" header="0" footer="0"/>
  <pageSetup paperSize="5" scale="61" orientation="landscape" r:id="rId1"/>
  <legacyDrawing r:id="rId2"/>
  <extLst>
    <ext xmlns:mx="http://schemas.microsoft.com/office/mac/excel/2008/main" uri="{64002731-A6B0-56B0-2670-7721B7C09600}">
      <mx:PLV Mode="0" OnePage="0" WScale="0"/>
    </ext>
  </extLst>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HL32"/>
  <sheetViews>
    <sheetView workbookViewId="0">
      <selection activeCell="F2" sqref="F2"/>
    </sheetView>
  </sheetViews>
  <sheetFormatPr defaultColWidth="8.85546875" defaultRowHeight="15"/>
  <cols>
    <col min="1" max="1" width="10.5703125" customWidth="1"/>
    <col min="2" max="2" width="10.140625" bestFit="1"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1.85546875" bestFit="1" customWidth="1"/>
    <col min="20" max="20" width="12.85546875" bestFit="1" customWidth="1"/>
    <col min="21" max="21" width="10.7109375" bestFit="1" customWidth="1"/>
    <col min="22" max="22" width="10.85546875" bestFit="1" customWidth="1"/>
    <col min="23" max="23" width="12.85546875" bestFit="1" customWidth="1"/>
  </cols>
  <sheetData>
    <row r="1" spans="1:220" s="7" customFormat="1" ht="18.75">
      <c r="A1" s="1" t="s">
        <v>238</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72" customFormat="1">
      <c r="A3" s="105">
        <v>2022</v>
      </c>
      <c r="B3" s="66">
        <v>15</v>
      </c>
      <c r="C3" s="66">
        <v>5.78</v>
      </c>
      <c r="D3" s="525">
        <f t="shared" ref="D3" si="0">SUM(B3:C3)</f>
        <v>20.78</v>
      </c>
      <c r="E3" s="82">
        <f t="shared" ref="E3" si="1">ROUND((O3/B3), 0)</f>
        <v>59</v>
      </c>
      <c r="F3" s="82">
        <f t="shared" ref="F3" si="2">ROUND((O3/D3), 0)</f>
        <v>43</v>
      </c>
      <c r="G3" s="66">
        <v>14</v>
      </c>
      <c r="H3" s="321">
        <v>6.57</v>
      </c>
      <c r="I3" s="66">
        <v>103</v>
      </c>
      <c r="J3" s="66">
        <v>150</v>
      </c>
      <c r="K3" s="23">
        <f t="shared" ref="K3" si="3">SUM(I3:J3)</f>
        <v>253</v>
      </c>
      <c r="L3" s="66">
        <v>76</v>
      </c>
      <c r="M3" s="82">
        <f t="shared" ref="M3" si="4">(I3+L3)</f>
        <v>179</v>
      </c>
      <c r="N3" s="66">
        <v>20</v>
      </c>
      <c r="O3" s="66">
        <v>885</v>
      </c>
      <c r="P3" s="133">
        <f>M3/O3</f>
        <v>0.20225988700564973</v>
      </c>
      <c r="Q3" s="66">
        <v>87</v>
      </c>
      <c r="R3" s="66">
        <v>4</v>
      </c>
      <c r="S3" s="304">
        <v>5414058</v>
      </c>
      <c r="T3" s="24">
        <f t="shared" ref="T3" si="5">SUM(U3:V3)</f>
        <v>6263589</v>
      </c>
      <c r="U3" s="526">
        <v>2955508</v>
      </c>
      <c r="V3" s="526">
        <v>3308081</v>
      </c>
      <c r="W3" s="135">
        <f>V3/T3</f>
        <v>0.52814464678317818</v>
      </c>
    </row>
    <row r="4" spans="1:220">
      <c r="A4" s="346">
        <v>2021</v>
      </c>
      <c r="B4" s="530">
        <v>16</v>
      </c>
      <c r="C4" s="530">
        <v>5.78</v>
      </c>
      <c r="D4" s="395">
        <f>SUM(B4:C4)</f>
        <v>21.78</v>
      </c>
      <c r="E4" s="82">
        <f t="shared" ref="E4" si="6">ROUND((O4/B4), 0)</f>
        <v>26</v>
      </c>
      <c r="F4" s="82">
        <f t="shared" ref="F4" si="7">ROUND((O4/D4), 0)</f>
        <v>19</v>
      </c>
      <c r="G4" s="530">
        <v>15</v>
      </c>
      <c r="H4" s="530">
        <v>5.6109999999999998</v>
      </c>
      <c r="I4" s="530">
        <v>96</v>
      </c>
      <c r="J4" s="530">
        <v>146</v>
      </c>
      <c r="K4" s="23">
        <f t="shared" ref="K4" si="8">SUM(I4:J4)</f>
        <v>242</v>
      </c>
      <c r="L4" s="530">
        <v>73</v>
      </c>
      <c r="M4" s="82">
        <f>(I4+L4)</f>
        <v>169</v>
      </c>
      <c r="N4" s="530">
        <v>29</v>
      </c>
      <c r="O4" s="530">
        <v>421.58</v>
      </c>
      <c r="P4" s="133">
        <f>M4/O4</f>
        <v>0.40087290668437781</v>
      </c>
      <c r="Q4" s="530">
        <v>80</v>
      </c>
      <c r="R4" s="530">
        <v>3</v>
      </c>
      <c r="S4" s="155">
        <v>4657347</v>
      </c>
      <c r="T4" s="24">
        <f t="shared" ref="T4" si="9">SUM(U4:V4)</f>
        <v>6661009</v>
      </c>
      <c r="U4" s="155">
        <v>4900438</v>
      </c>
      <c r="V4" s="155">
        <v>1760571</v>
      </c>
      <c r="W4" s="135">
        <f>V4/T4</f>
        <v>0.26430995664470652</v>
      </c>
    </row>
    <row r="5" spans="1:220" s="306" customFormat="1">
      <c r="A5" s="346">
        <v>2020</v>
      </c>
      <c r="B5" s="530">
        <v>15</v>
      </c>
      <c r="C5" s="530">
        <v>18</v>
      </c>
      <c r="D5" s="395">
        <f>SUM(B5:C5)</f>
        <v>33</v>
      </c>
      <c r="E5" s="82">
        <f>ROUND((O5/B5), 0)</f>
        <v>39</v>
      </c>
      <c r="F5" s="82">
        <f>ROUND((O5/D5), 0)</f>
        <v>18</v>
      </c>
      <c r="G5" s="530">
        <v>15</v>
      </c>
      <c r="H5" s="530">
        <v>4</v>
      </c>
      <c r="I5" s="530">
        <v>114</v>
      </c>
      <c r="J5" s="530">
        <v>170</v>
      </c>
      <c r="K5" s="23">
        <f t="shared" ref="K5" si="10">SUM(I5:J5)</f>
        <v>284</v>
      </c>
      <c r="L5" s="530">
        <v>62</v>
      </c>
      <c r="M5" s="82">
        <f>(I5+L5)</f>
        <v>176</v>
      </c>
      <c r="N5" s="530">
        <v>35</v>
      </c>
      <c r="O5" s="530">
        <v>585</v>
      </c>
      <c r="P5" s="133">
        <f>M5/O5</f>
        <v>0.30085470085470084</v>
      </c>
      <c r="Q5" s="530">
        <v>86</v>
      </c>
      <c r="R5" s="530">
        <v>3</v>
      </c>
      <c r="S5" s="155">
        <v>4053860</v>
      </c>
      <c r="T5" s="24">
        <f>SUM(U5:V5)</f>
        <v>4553928</v>
      </c>
      <c r="U5" s="155">
        <v>3429216</v>
      </c>
      <c r="V5" s="155">
        <v>1124712</v>
      </c>
      <c r="W5" s="135">
        <f>V5/T5</f>
        <v>0.2469762367784471</v>
      </c>
    </row>
    <row r="6" spans="1:220" s="306" customFormat="1">
      <c r="A6" s="346">
        <v>2019</v>
      </c>
      <c r="B6" s="530">
        <v>14</v>
      </c>
      <c r="C6" s="530">
        <v>7</v>
      </c>
      <c r="D6" s="23">
        <f>SUM(B6:C6)</f>
        <v>21</v>
      </c>
      <c r="E6" s="82">
        <f>ROUND((O6/B6), 0)</f>
        <v>33</v>
      </c>
      <c r="F6" s="82">
        <f>ROUND((O6/D6), 0)</f>
        <v>22</v>
      </c>
      <c r="G6" s="530">
        <v>14</v>
      </c>
      <c r="H6" s="530">
        <v>7</v>
      </c>
      <c r="I6" s="530">
        <v>131</v>
      </c>
      <c r="J6" s="530">
        <v>138</v>
      </c>
      <c r="K6" s="23">
        <f t="shared" ref="K6" si="11">SUM(I6:J6)</f>
        <v>269</v>
      </c>
      <c r="L6" s="530">
        <v>76</v>
      </c>
      <c r="M6" s="82">
        <f>(I6+L6)</f>
        <v>207</v>
      </c>
      <c r="N6" s="530">
        <v>12</v>
      </c>
      <c r="O6" s="530">
        <v>468</v>
      </c>
      <c r="P6" s="133">
        <f>M6/O6</f>
        <v>0.44230769230769229</v>
      </c>
      <c r="Q6" s="530">
        <v>88</v>
      </c>
      <c r="R6" s="530">
        <v>2</v>
      </c>
      <c r="S6" s="155">
        <v>3568880</v>
      </c>
      <c r="T6" s="24">
        <f>SUM(U6:V6)</f>
        <v>3568880</v>
      </c>
      <c r="U6" s="155">
        <v>2189912</v>
      </c>
      <c r="V6" s="155">
        <v>1378968</v>
      </c>
      <c r="W6" s="135">
        <f>V6/T6</f>
        <v>0.38638676559592927</v>
      </c>
    </row>
    <row r="7" spans="1:220" s="14" customFormat="1">
      <c r="A7" s="10">
        <v>2018</v>
      </c>
      <c r="B7" s="17">
        <v>15</v>
      </c>
      <c r="C7" s="17">
        <v>3.3</v>
      </c>
      <c r="D7" s="23">
        <f>SUM(B7:C7)</f>
        <v>18.3</v>
      </c>
      <c r="E7" s="82">
        <f>ROUND((O7/B7), 0)</f>
        <v>35</v>
      </c>
      <c r="F7" s="82">
        <f>ROUND((O7/D7), 0)</f>
        <v>29</v>
      </c>
      <c r="G7" s="17">
        <v>12</v>
      </c>
      <c r="H7" s="17">
        <v>3.3</v>
      </c>
      <c r="I7" s="17">
        <v>108</v>
      </c>
      <c r="J7" s="17">
        <v>103</v>
      </c>
      <c r="K7" s="23">
        <f t="shared" ref="K7" si="12">SUM(I7:J7)</f>
        <v>211</v>
      </c>
      <c r="L7" s="17">
        <v>64</v>
      </c>
      <c r="M7" s="82">
        <f>(I7+L7)</f>
        <v>172</v>
      </c>
      <c r="N7" s="17">
        <v>10</v>
      </c>
      <c r="O7" s="17">
        <v>528</v>
      </c>
      <c r="P7" s="133">
        <f>M7/O7</f>
        <v>0.32575757575757575</v>
      </c>
      <c r="Q7" s="17">
        <v>80</v>
      </c>
      <c r="R7" s="17">
        <v>1</v>
      </c>
      <c r="S7" s="20">
        <v>3354644</v>
      </c>
      <c r="T7" s="24">
        <f>SUM(U7:V7)</f>
        <v>3354644</v>
      </c>
      <c r="U7" s="20">
        <v>2177733</v>
      </c>
      <c r="V7" s="20">
        <v>1176911</v>
      </c>
      <c r="W7" s="135">
        <f>V7/T7</f>
        <v>0.35083037127039413</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15</v>
      </c>
      <c r="C8" s="17">
        <v>5</v>
      </c>
      <c r="D8" s="27">
        <f>SUM(B8:C8)</f>
        <v>20</v>
      </c>
      <c r="E8" s="27">
        <f>ROUND((O8/B8), 0)</f>
        <v>33</v>
      </c>
      <c r="F8" s="27">
        <f>ROUND((O8/D8), 0)</f>
        <v>25</v>
      </c>
      <c r="G8" s="17">
        <v>12</v>
      </c>
      <c r="H8" s="17">
        <v>4.3</v>
      </c>
      <c r="I8" s="17">
        <v>113</v>
      </c>
      <c r="J8" s="17">
        <v>108</v>
      </c>
      <c r="K8" s="27">
        <f>SUM(I8:J8)</f>
        <v>221</v>
      </c>
      <c r="L8" s="17">
        <v>61</v>
      </c>
      <c r="M8" s="29">
        <f>(I8+L8)</f>
        <v>174</v>
      </c>
      <c r="N8" s="255">
        <v>23</v>
      </c>
      <c r="O8" s="255">
        <v>498</v>
      </c>
      <c r="P8" s="133">
        <f t="shared" ref="P8:P23" si="13">M8/O8</f>
        <v>0.3493975903614458</v>
      </c>
      <c r="Q8" s="17">
        <v>90</v>
      </c>
      <c r="R8" s="17">
        <v>2</v>
      </c>
      <c r="S8" s="223">
        <v>3447026</v>
      </c>
      <c r="T8" s="28">
        <f>SUM(U8:V8)</f>
        <v>3447026</v>
      </c>
      <c r="U8" s="252">
        <v>2144945</v>
      </c>
      <c r="V8" s="20">
        <v>1302081</v>
      </c>
      <c r="W8" s="135">
        <f t="shared" ref="W8:W23" si="14">V8/T8</f>
        <v>0.37774040578748175</v>
      </c>
    </row>
    <row r="9" spans="1:220" s="9" customFormat="1">
      <c r="A9" s="10">
        <v>2016</v>
      </c>
      <c r="B9" s="54">
        <v>14</v>
      </c>
      <c r="C9" s="54">
        <v>6.2</v>
      </c>
      <c r="D9" s="27">
        <f>B9+C9</f>
        <v>20.2</v>
      </c>
      <c r="E9" s="29">
        <f>ROUND((O9/B9), 0)</f>
        <v>38</v>
      </c>
      <c r="F9" s="29">
        <f>ROUND((O9/D9), 0)</f>
        <v>26</v>
      </c>
      <c r="G9" s="54">
        <v>12</v>
      </c>
      <c r="H9" s="54">
        <v>6.2</v>
      </c>
      <c r="I9" s="54">
        <v>112</v>
      </c>
      <c r="J9" s="54">
        <v>102</v>
      </c>
      <c r="K9" s="27">
        <f>I9+J9</f>
        <v>214</v>
      </c>
      <c r="L9" s="54">
        <v>36.72</v>
      </c>
      <c r="M9" s="29">
        <f>I9+L9</f>
        <v>148.72</v>
      </c>
      <c r="N9" s="54">
        <v>23</v>
      </c>
      <c r="O9" s="54">
        <v>525</v>
      </c>
      <c r="P9" s="133">
        <f t="shared" si="13"/>
        <v>0.28327619047619046</v>
      </c>
      <c r="Q9" s="54">
        <v>72</v>
      </c>
      <c r="R9" s="54">
        <v>1</v>
      </c>
      <c r="S9" s="55">
        <v>3625586</v>
      </c>
      <c r="T9" s="28">
        <f>SUM(U9:V9)</f>
        <v>3625586</v>
      </c>
      <c r="U9" s="55">
        <v>1900101</v>
      </c>
      <c r="V9" s="55">
        <v>1725485</v>
      </c>
      <c r="W9" s="135">
        <f t="shared" si="14"/>
        <v>0.47591892731271579</v>
      </c>
    </row>
    <row r="10" spans="1:220" s="16" customFormat="1">
      <c r="A10" s="57">
        <v>2015</v>
      </c>
      <c r="B10" s="70">
        <v>13</v>
      </c>
      <c r="C10" s="70">
        <v>8.6</v>
      </c>
      <c r="D10" s="65">
        <v>14.6</v>
      </c>
      <c r="E10" s="65">
        <v>83.2</v>
      </c>
      <c r="F10" s="65">
        <v>34.200000000000003</v>
      </c>
      <c r="G10" s="83"/>
      <c r="H10" s="83"/>
      <c r="I10" s="70">
        <v>115</v>
      </c>
      <c r="J10" s="70">
        <v>97</v>
      </c>
      <c r="K10" s="65">
        <v>212</v>
      </c>
      <c r="L10" s="70">
        <v>54</v>
      </c>
      <c r="M10" s="65">
        <v>169.38</v>
      </c>
      <c r="N10" s="70">
        <v>5</v>
      </c>
      <c r="O10" s="70">
        <v>499.08</v>
      </c>
      <c r="P10" s="133">
        <f t="shared" si="13"/>
        <v>0.3393844674200529</v>
      </c>
      <c r="Q10" s="70">
        <v>87</v>
      </c>
      <c r="R10" s="70">
        <v>0</v>
      </c>
      <c r="S10" s="78">
        <v>3573535</v>
      </c>
      <c r="T10" s="79">
        <v>3573535</v>
      </c>
      <c r="U10" s="78">
        <v>2111223</v>
      </c>
      <c r="V10" s="78">
        <v>1462312</v>
      </c>
      <c r="W10" s="135">
        <f t="shared" si="14"/>
        <v>0.40920601029512793</v>
      </c>
    </row>
    <row r="11" spans="1:220" s="247" customFormat="1">
      <c r="A11" s="15">
        <v>2014</v>
      </c>
      <c r="B11" s="158">
        <v>14</v>
      </c>
      <c r="C11" s="158">
        <v>2</v>
      </c>
      <c r="D11" s="27">
        <f>B11+C11</f>
        <v>16</v>
      </c>
      <c r="E11" s="29">
        <f t="shared" ref="E11:E23" si="15">ROUND((O11/B11), 0)</f>
        <v>28</v>
      </c>
      <c r="F11" s="29">
        <f t="shared" ref="F11:F23" si="16">ROUND((O11/D11), 0)</f>
        <v>25</v>
      </c>
      <c r="G11" s="83"/>
      <c r="H11" s="83"/>
      <c r="I11" s="158">
        <v>127</v>
      </c>
      <c r="J11" s="158">
        <v>88</v>
      </c>
      <c r="K11" s="27">
        <f>I11+J11</f>
        <v>215</v>
      </c>
      <c r="L11" s="158">
        <v>47.46</v>
      </c>
      <c r="M11" s="29">
        <f>I11+L11</f>
        <v>174.46</v>
      </c>
      <c r="N11" s="158">
        <v>19</v>
      </c>
      <c r="O11" s="158">
        <v>393</v>
      </c>
      <c r="P11" s="133">
        <f t="shared" si="13"/>
        <v>0.44391857506361326</v>
      </c>
      <c r="Q11" s="158">
        <v>75</v>
      </c>
      <c r="R11" s="158">
        <v>0</v>
      </c>
      <c r="S11" s="246">
        <v>3380174</v>
      </c>
      <c r="T11" s="28">
        <f t="shared" ref="T11:T23" si="17">SUM(U11:V11)</f>
        <v>3554100</v>
      </c>
      <c r="U11" s="246">
        <v>2516223</v>
      </c>
      <c r="V11" s="246">
        <v>1037877</v>
      </c>
      <c r="W11" s="135">
        <f t="shared" si="14"/>
        <v>0.29202245294167301</v>
      </c>
    </row>
    <row r="12" spans="1:220" s="164" customFormat="1">
      <c r="A12" s="167">
        <v>2013</v>
      </c>
      <c r="B12" s="159">
        <v>14</v>
      </c>
      <c r="C12" s="159">
        <v>4.2</v>
      </c>
      <c r="D12" s="160">
        <f>B12+C12</f>
        <v>18.2</v>
      </c>
      <c r="E12" s="161">
        <f t="shared" si="15"/>
        <v>16</v>
      </c>
      <c r="F12" s="161">
        <f t="shared" si="16"/>
        <v>13</v>
      </c>
      <c r="G12" s="85"/>
      <c r="H12" s="85"/>
      <c r="I12" s="159">
        <v>125</v>
      </c>
      <c r="J12" s="159">
        <v>85</v>
      </c>
      <c r="K12" s="160">
        <f>I12+J12</f>
        <v>210</v>
      </c>
      <c r="L12" s="159">
        <v>50.15</v>
      </c>
      <c r="M12" s="161">
        <f>I12+L12</f>
        <v>175.15</v>
      </c>
      <c r="N12" s="159">
        <v>25</v>
      </c>
      <c r="O12" s="159">
        <v>230.55</v>
      </c>
      <c r="P12" s="133">
        <f t="shared" si="13"/>
        <v>0.75970505313381043</v>
      </c>
      <c r="Q12" s="159">
        <v>88</v>
      </c>
      <c r="R12" s="159">
        <v>3</v>
      </c>
      <c r="S12" s="162">
        <v>3539211</v>
      </c>
      <c r="T12" s="163">
        <f t="shared" si="17"/>
        <v>3539211</v>
      </c>
      <c r="U12" s="162">
        <v>2466332</v>
      </c>
      <c r="V12" s="162">
        <v>1072879</v>
      </c>
      <c r="W12" s="135">
        <f t="shared" si="14"/>
        <v>0.30314072825836041</v>
      </c>
    </row>
    <row r="13" spans="1:220" s="164" customFormat="1">
      <c r="A13" s="167">
        <v>2012</v>
      </c>
      <c r="B13" s="159">
        <v>15</v>
      </c>
      <c r="C13" s="159">
        <v>2</v>
      </c>
      <c r="D13" s="160">
        <f>B13+C13</f>
        <v>17</v>
      </c>
      <c r="E13" s="161">
        <f t="shared" si="15"/>
        <v>12</v>
      </c>
      <c r="F13" s="161">
        <f t="shared" si="16"/>
        <v>10</v>
      </c>
      <c r="G13" s="85"/>
      <c r="H13" s="85"/>
      <c r="I13" s="159">
        <v>126</v>
      </c>
      <c r="J13" s="159">
        <v>82</v>
      </c>
      <c r="K13" s="160">
        <f>I13+J13</f>
        <v>208</v>
      </c>
      <c r="L13" s="159">
        <v>45.76</v>
      </c>
      <c r="M13" s="161">
        <f>I13+L13</f>
        <v>171.76</v>
      </c>
      <c r="N13" s="159">
        <v>14</v>
      </c>
      <c r="O13" s="159">
        <v>177.76</v>
      </c>
      <c r="P13" s="133">
        <f t="shared" si="13"/>
        <v>0.96624662466246625</v>
      </c>
      <c r="Q13" s="159">
        <v>74</v>
      </c>
      <c r="R13" s="159">
        <v>4</v>
      </c>
      <c r="S13" s="162">
        <v>3799294</v>
      </c>
      <c r="T13" s="163">
        <f t="shared" si="17"/>
        <v>3799294</v>
      </c>
      <c r="U13" s="162">
        <v>2145569</v>
      </c>
      <c r="V13" s="162">
        <v>1653725</v>
      </c>
      <c r="W13" s="135">
        <f t="shared" si="14"/>
        <v>0.43527165836600168</v>
      </c>
    </row>
    <row r="14" spans="1:220" s="164" customFormat="1">
      <c r="A14" s="167" t="s">
        <v>26</v>
      </c>
      <c r="B14" s="159">
        <v>9</v>
      </c>
      <c r="C14" s="159">
        <v>7</v>
      </c>
      <c r="D14" s="160">
        <f t="shared" ref="D14:D23" si="18">SUM(B14:C14)</f>
        <v>16</v>
      </c>
      <c r="E14" s="161">
        <f t="shared" si="15"/>
        <v>22</v>
      </c>
      <c r="F14" s="161">
        <f t="shared" si="16"/>
        <v>12</v>
      </c>
      <c r="G14" s="85"/>
      <c r="H14" s="85"/>
      <c r="I14" s="159">
        <v>138</v>
      </c>
      <c r="J14" s="159">
        <v>79</v>
      </c>
      <c r="K14" s="160">
        <f t="shared" ref="K14:K23" si="19">SUM(I14:J14)</f>
        <v>217</v>
      </c>
      <c r="L14" s="159">
        <v>48.51</v>
      </c>
      <c r="M14" s="161">
        <f t="shared" ref="M14:M23" si="20">(I14+L14)</f>
        <v>186.51</v>
      </c>
      <c r="N14" s="159">
        <v>18</v>
      </c>
      <c r="O14" s="159">
        <v>197.26</v>
      </c>
      <c r="P14" s="133">
        <f t="shared" si="13"/>
        <v>0.94550339653249516</v>
      </c>
      <c r="Q14" s="159">
        <v>80</v>
      </c>
      <c r="R14" s="159">
        <v>2</v>
      </c>
      <c r="S14" s="162">
        <v>3798860</v>
      </c>
      <c r="T14" s="163">
        <f t="shared" si="17"/>
        <v>3857320</v>
      </c>
      <c r="U14" s="162">
        <v>2414908</v>
      </c>
      <c r="V14" s="162">
        <v>1442412</v>
      </c>
      <c r="W14" s="135">
        <f t="shared" si="14"/>
        <v>0.37394149305735591</v>
      </c>
    </row>
    <row r="15" spans="1:220" s="164" customFormat="1">
      <c r="A15" s="167" t="s">
        <v>27</v>
      </c>
      <c r="B15" s="159">
        <v>10</v>
      </c>
      <c r="C15" s="159">
        <v>7</v>
      </c>
      <c r="D15" s="160">
        <f t="shared" si="18"/>
        <v>17</v>
      </c>
      <c r="E15" s="161">
        <f t="shared" si="15"/>
        <v>18</v>
      </c>
      <c r="F15" s="161">
        <f t="shared" si="16"/>
        <v>11</v>
      </c>
      <c r="G15" s="85"/>
      <c r="H15" s="85"/>
      <c r="I15" s="159">
        <v>134</v>
      </c>
      <c r="J15" s="159">
        <v>66</v>
      </c>
      <c r="K15" s="160">
        <f t="shared" si="19"/>
        <v>200</v>
      </c>
      <c r="L15" s="159">
        <v>38.78</v>
      </c>
      <c r="M15" s="161">
        <f t="shared" si="20"/>
        <v>172.78</v>
      </c>
      <c r="N15" s="159">
        <v>20</v>
      </c>
      <c r="O15" s="159">
        <v>184.78</v>
      </c>
      <c r="P15" s="133">
        <f t="shared" si="13"/>
        <v>0.93505790669985933</v>
      </c>
      <c r="Q15" s="159">
        <v>102</v>
      </c>
      <c r="R15" s="159">
        <v>1</v>
      </c>
      <c r="S15" s="162">
        <v>3850296</v>
      </c>
      <c r="T15" s="163">
        <f t="shared" si="17"/>
        <v>3850296</v>
      </c>
      <c r="U15" s="162">
        <v>2464243</v>
      </c>
      <c r="V15" s="162">
        <v>1386053</v>
      </c>
      <c r="W15" s="135">
        <f t="shared" si="14"/>
        <v>0.35998608938118004</v>
      </c>
    </row>
    <row r="16" spans="1:220" s="164" customFormat="1">
      <c r="A16" s="167" t="s">
        <v>28</v>
      </c>
      <c r="B16" s="159">
        <v>9</v>
      </c>
      <c r="C16" s="159">
        <v>7</v>
      </c>
      <c r="D16" s="160">
        <f t="shared" si="18"/>
        <v>16</v>
      </c>
      <c r="E16" s="161">
        <f t="shared" si="15"/>
        <v>20</v>
      </c>
      <c r="F16" s="161">
        <f t="shared" si="16"/>
        <v>11</v>
      </c>
      <c r="G16" s="85"/>
      <c r="H16" s="85"/>
      <c r="I16" s="159">
        <v>138</v>
      </c>
      <c r="J16" s="159">
        <v>63</v>
      </c>
      <c r="K16" s="160">
        <f t="shared" si="19"/>
        <v>201</v>
      </c>
      <c r="L16" s="159">
        <v>33.03</v>
      </c>
      <c r="M16" s="161">
        <f t="shared" si="20"/>
        <v>171.03</v>
      </c>
      <c r="N16" s="159">
        <v>14</v>
      </c>
      <c r="O16" s="159">
        <v>181.03</v>
      </c>
      <c r="P16" s="133">
        <f t="shared" si="13"/>
        <v>0.94476053692758111</v>
      </c>
      <c r="Q16" s="159">
        <v>86</v>
      </c>
      <c r="R16" s="159">
        <v>1</v>
      </c>
      <c r="S16" s="162">
        <v>3797096.34</v>
      </c>
      <c r="T16" s="163">
        <f t="shared" si="17"/>
        <v>3797096</v>
      </c>
      <c r="U16" s="162">
        <v>2433717</v>
      </c>
      <c r="V16" s="162">
        <v>1363379</v>
      </c>
      <c r="W16" s="135">
        <f t="shared" si="14"/>
        <v>0.35905834353411131</v>
      </c>
    </row>
    <row r="17" spans="1:23" s="164" customFormat="1">
      <c r="A17" s="167" t="s">
        <v>29</v>
      </c>
      <c r="B17" s="159">
        <v>10</v>
      </c>
      <c r="C17" s="159">
        <v>7</v>
      </c>
      <c r="D17" s="160">
        <f t="shared" si="18"/>
        <v>17</v>
      </c>
      <c r="E17" s="161">
        <f t="shared" si="15"/>
        <v>22</v>
      </c>
      <c r="F17" s="161">
        <f t="shared" si="16"/>
        <v>13</v>
      </c>
      <c r="G17" s="85"/>
      <c r="H17" s="85"/>
      <c r="I17" s="159">
        <v>143</v>
      </c>
      <c r="J17" s="159">
        <v>77</v>
      </c>
      <c r="K17" s="160">
        <f t="shared" si="19"/>
        <v>220</v>
      </c>
      <c r="L17" s="159">
        <v>50.875</v>
      </c>
      <c r="M17" s="161">
        <f t="shared" si="20"/>
        <v>193.875</v>
      </c>
      <c r="N17" s="159">
        <v>14</v>
      </c>
      <c r="O17" s="159">
        <v>223</v>
      </c>
      <c r="P17" s="133">
        <f t="shared" si="13"/>
        <v>0.86939461883408076</v>
      </c>
      <c r="Q17" s="159">
        <v>98</v>
      </c>
      <c r="R17" s="159">
        <v>1</v>
      </c>
      <c r="S17" s="162">
        <v>3859360.4</v>
      </c>
      <c r="T17" s="163">
        <f t="shared" si="17"/>
        <v>3859360</v>
      </c>
      <c r="U17" s="162">
        <v>2482771</v>
      </c>
      <c r="V17" s="162">
        <v>1376589</v>
      </c>
      <c r="W17" s="135">
        <f t="shared" si="14"/>
        <v>0.35668841465942541</v>
      </c>
    </row>
    <row r="18" spans="1:23" s="164" customFormat="1">
      <c r="A18" s="167">
        <v>2007</v>
      </c>
      <c r="B18" s="159">
        <v>10</v>
      </c>
      <c r="C18" s="159">
        <v>6</v>
      </c>
      <c r="D18" s="160">
        <f t="shared" si="18"/>
        <v>16</v>
      </c>
      <c r="E18" s="161">
        <f t="shared" si="15"/>
        <v>22</v>
      </c>
      <c r="F18" s="161">
        <f t="shared" si="16"/>
        <v>13</v>
      </c>
      <c r="G18" s="85"/>
      <c r="H18" s="85"/>
      <c r="I18" s="159">
        <v>135</v>
      </c>
      <c r="J18" s="159">
        <v>103</v>
      </c>
      <c r="K18" s="160">
        <f t="shared" si="19"/>
        <v>238</v>
      </c>
      <c r="L18" s="159">
        <v>66.625</v>
      </c>
      <c r="M18" s="161">
        <f t="shared" si="20"/>
        <v>201.625</v>
      </c>
      <c r="N18" s="159">
        <v>17</v>
      </c>
      <c r="O18" s="159">
        <v>215</v>
      </c>
      <c r="P18" s="133">
        <f t="shared" si="13"/>
        <v>0.93779069767441858</v>
      </c>
      <c r="Q18" s="159">
        <v>77</v>
      </c>
      <c r="R18" s="159">
        <v>3</v>
      </c>
      <c r="S18" s="165">
        <v>4122944</v>
      </c>
      <c r="T18" s="163">
        <f t="shared" si="17"/>
        <v>4122944</v>
      </c>
      <c r="U18" s="165">
        <v>2826715</v>
      </c>
      <c r="V18" s="165">
        <v>1296229</v>
      </c>
      <c r="W18" s="135">
        <f t="shared" si="14"/>
        <v>0.314394034942022</v>
      </c>
    </row>
    <row r="19" spans="1:23" s="164" customFormat="1">
      <c r="A19" s="167">
        <v>2006</v>
      </c>
      <c r="B19" s="159">
        <v>10.5</v>
      </c>
      <c r="C19" s="159">
        <v>4.5</v>
      </c>
      <c r="D19" s="160">
        <f t="shared" si="18"/>
        <v>15</v>
      </c>
      <c r="E19" s="161">
        <f t="shared" si="15"/>
        <v>19</v>
      </c>
      <c r="F19" s="161">
        <f t="shared" si="16"/>
        <v>13</v>
      </c>
      <c r="G19" s="85"/>
      <c r="H19" s="85"/>
      <c r="I19" s="159">
        <v>121</v>
      </c>
      <c r="J19" s="159">
        <v>91</v>
      </c>
      <c r="K19" s="160">
        <f t="shared" si="19"/>
        <v>212</v>
      </c>
      <c r="L19" s="159">
        <v>59</v>
      </c>
      <c r="M19" s="161">
        <f t="shared" si="20"/>
        <v>180</v>
      </c>
      <c r="N19" s="159">
        <v>15</v>
      </c>
      <c r="O19" s="159">
        <v>202</v>
      </c>
      <c r="P19" s="133">
        <f t="shared" si="13"/>
        <v>0.8910891089108911</v>
      </c>
      <c r="Q19" s="159">
        <v>90</v>
      </c>
      <c r="R19" s="159">
        <v>4</v>
      </c>
      <c r="S19" s="165">
        <v>2502596</v>
      </c>
      <c r="T19" s="163">
        <f t="shared" si="17"/>
        <v>2502596</v>
      </c>
      <c r="U19" s="165">
        <v>1787899</v>
      </c>
      <c r="V19" s="165">
        <v>714697</v>
      </c>
      <c r="W19" s="135">
        <f t="shared" si="14"/>
        <v>0.28558225139015647</v>
      </c>
    </row>
    <row r="20" spans="1:23" s="164" customFormat="1">
      <c r="A20" s="167">
        <v>2005</v>
      </c>
      <c r="B20" s="159">
        <v>6</v>
      </c>
      <c r="C20" s="159">
        <v>7</v>
      </c>
      <c r="D20" s="160">
        <f t="shared" si="18"/>
        <v>13</v>
      </c>
      <c r="E20" s="161">
        <f t="shared" si="15"/>
        <v>32</v>
      </c>
      <c r="F20" s="161">
        <f t="shared" si="16"/>
        <v>15</v>
      </c>
      <c r="G20" s="85"/>
      <c r="H20" s="85"/>
      <c r="I20" s="159">
        <v>125</v>
      </c>
      <c r="J20" s="159">
        <v>86</v>
      </c>
      <c r="K20" s="160">
        <f t="shared" si="19"/>
        <v>211</v>
      </c>
      <c r="L20" s="159">
        <v>55</v>
      </c>
      <c r="M20" s="161">
        <f t="shared" si="20"/>
        <v>180</v>
      </c>
      <c r="N20" s="159">
        <v>12</v>
      </c>
      <c r="O20" s="159">
        <v>194</v>
      </c>
      <c r="P20" s="133">
        <f t="shared" si="13"/>
        <v>0.92783505154639179</v>
      </c>
      <c r="Q20" s="159">
        <v>64</v>
      </c>
      <c r="R20" s="159">
        <v>3</v>
      </c>
      <c r="S20" s="165">
        <v>2410724</v>
      </c>
      <c r="T20" s="163">
        <f t="shared" si="17"/>
        <v>2410724</v>
      </c>
      <c r="U20" s="165">
        <v>1722774</v>
      </c>
      <c r="V20" s="165">
        <v>687950</v>
      </c>
      <c r="W20" s="135">
        <f t="shared" si="14"/>
        <v>0.28537070191361597</v>
      </c>
    </row>
    <row r="21" spans="1:23" s="164" customFormat="1">
      <c r="A21" s="167">
        <v>2004</v>
      </c>
      <c r="B21" s="159">
        <v>8</v>
      </c>
      <c r="C21" s="159">
        <v>5</v>
      </c>
      <c r="D21" s="160">
        <f t="shared" si="18"/>
        <v>13</v>
      </c>
      <c r="E21" s="161">
        <f t="shared" si="15"/>
        <v>22</v>
      </c>
      <c r="F21" s="161">
        <f t="shared" si="16"/>
        <v>14</v>
      </c>
      <c r="G21" s="85"/>
      <c r="H21" s="85"/>
      <c r="I21" s="159">
        <v>124</v>
      </c>
      <c r="J21" s="159">
        <v>56</v>
      </c>
      <c r="K21" s="160">
        <f t="shared" si="19"/>
        <v>180</v>
      </c>
      <c r="L21" s="159">
        <v>34.5</v>
      </c>
      <c r="M21" s="161">
        <f t="shared" si="20"/>
        <v>158.5</v>
      </c>
      <c r="N21" s="159">
        <v>4</v>
      </c>
      <c r="O21" s="159">
        <v>176</v>
      </c>
      <c r="P21" s="133">
        <f t="shared" si="13"/>
        <v>0.90056818181818177</v>
      </c>
      <c r="Q21" s="159">
        <v>82</v>
      </c>
      <c r="R21" s="159">
        <v>3</v>
      </c>
      <c r="S21" s="165">
        <v>2338866</v>
      </c>
      <c r="T21" s="163">
        <f t="shared" si="17"/>
        <v>2338866</v>
      </c>
      <c r="U21" s="165">
        <v>1587715</v>
      </c>
      <c r="V21" s="165">
        <v>751151</v>
      </c>
      <c r="W21" s="135">
        <f t="shared" si="14"/>
        <v>0.3211603400964399</v>
      </c>
    </row>
    <row r="22" spans="1:23" s="164" customFormat="1">
      <c r="A22" s="167">
        <v>2003</v>
      </c>
      <c r="B22" s="159">
        <v>7</v>
      </c>
      <c r="C22" s="159">
        <v>3</v>
      </c>
      <c r="D22" s="160">
        <f t="shared" si="18"/>
        <v>10</v>
      </c>
      <c r="E22" s="161">
        <f t="shared" si="15"/>
        <v>27</v>
      </c>
      <c r="F22" s="161">
        <f t="shared" si="16"/>
        <v>19</v>
      </c>
      <c r="G22" s="85"/>
      <c r="H22" s="85"/>
      <c r="I22" s="159">
        <v>109</v>
      </c>
      <c r="J22" s="159">
        <v>72</v>
      </c>
      <c r="K22" s="160">
        <f t="shared" si="19"/>
        <v>181</v>
      </c>
      <c r="L22" s="159">
        <v>44</v>
      </c>
      <c r="M22" s="161">
        <f t="shared" si="20"/>
        <v>153</v>
      </c>
      <c r="N22" s="159">
        <v>6</v>
      </c>
      <c r="O22" s="159">
        <v>191</v>
      </c>
      <c r="P22" s="133">
        <f t="shared" si="13"/>
        <v>0.80104712041884818</v>
      </c>
      <c r="Q22" s="159">
        <v>67</v>
      </c>
      <c r="R22" s="159">
        <v>2</v>
      </c>
      <c r="S22" s="165">
        <v>2298845</v>
      </c>
      <c r="T22" s="163">
        <f t="shared" si="17"/>
        <v>2298845</v>
      </c>
      <c r="U22" s="165">
        <v>1492940</v>
      </c>
      <c r="V22" s="165">
        <v>805905</v>
      </c>
      <c r="W22" s="135">
        <f t="shared" si="14"/>
        <v>0.35056952513109846</v>
      </c>
    </row>
    <row r="23" spans="1:23" s="164" customFormat="1">
      <c r="A23" s="167">
        <v>2002</v>
      </c>
      <c r="B23" s="159">
        <v>8</v>
      </c>
      <c r="C23" s="159">
        <v>2</v>
      </c>
      <c r="D23" s="160">
        <f t="shared" si="18"/>
        <v>10</v>
      </c>
      <c r="E23" s="161">
        <f t="shared" si="15"/>
        <v>21</v>
      </c>
      <c r="F23" s="161">
        <f t="shared" si="16"/>
        <v>17</v>
      </c>
      <c r="G23" s="85"/>
      <c r="H23" s="85"/>
      <c r="I23" s="159">
        <v>101</v>
      </c>
      <c r="J23" s="159">
        <v>80</v>
      </c>
      <c r="K23" s="160">
        <f t="shared" si="19"/>
        <v>181</v>
      </c>
      <c r="L23" s="159">
        <f>ROUND(48.01, 0)</f>
        <v>48</v>
      </c>
      <c r="M23" s="161">
        <f t="shared" si="20"/>
        <v>149</v>
      </c>
      <c r="N23" s="159">
        <v>8</v>
      </c>
      <c r="O23" s="159">
        <f>ROUND(170.14, 0)</f>
        <v>170</v>
      </c>
      <c r="P23" s="133">
        <f t="shared" si="13"/>
        <v>0.87647058823529411</v>
      </c>
      <c r="Q23" s="159">
        <v>80</v>
      </c>
      <c r="R23" s="159">
        <v>0</v>
      </c>
      <c r="S23" s="165">
        <v>2304305</v>
      </c>
      <c r="T23" s="163">
        <f t="shared" si="17"/>
        <v>2304305</v>
      </c>
      <c r="U23" s="165">
        <v>1816222</v>
      </c>
      <c r="V23" s="165">
        <v>488083</v>
      </c>
      <c r="W23" s="135">
        <f t="shared" si="14"/>
        <v>0.21181354030824912</v>
      </c>
    </row>
    <row r="24" spans="1:23">
      <c r="A24" s="538" t="s">
        <v>239</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3" s="12" customFormat="1">
      <c r="G25"/>
      <c r="H25"/>
    </row>
    <row r="26" spans="1:23" s="12" customFormat="1">
      <c r="G26"/>
      <c r="H26"/>
    </row>
    <row r="27" spans="1:23" s="12" customFormat="1">
      <c r="G27"/>
      <c r="H27"/>
    </row>
    <row r="28" spans="1:23" s="12" customFormat="1">
      <c r="G28"/>
      <c r="H28"/>
    </row>
    <row r="29" spans="1:23" s="12" customFormat="1">
      <c r="G29"/>
      <c r="H29"/>
    </row>
    <row r="30" spans="1:23" s="12" customFormat="1">
      <c r="G30"/>
      <c r="H30"/>
    </row>
    <row r="31" spans="1:23" s="12" customFormat="1">
      <c r="G31"/>
      <c r="H31"/>
    </row>
    <row r="32" spans="1:23" s="12" customFormat="1">
      <c r="G32"/>
      <c r="H32"/>
    </row>
  </sheetData>
  <mergeCells count="1">
    <mergeCell ref="A24:W24"/>
  </mergeCells>
  <printOptions headings="1" gridLines="1"/>
  <pageMargins left="0.5" right="0.5" top="0.5" bottom="0.5" header="0" footer="0"/>
  <pageSetup paperSize="5" scale="66" orientation="landscape"/>
  <legacyDrawing r:id="rId1"/>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HL33"/>
  <sheetViews>
    <sheetView workbookViewId="0">
      <selection activeCell="A24" sqref="A24"/>
    </sheetView>
  </sheetViews>
  <sheetFormatPr defaultColWidth="8.85546875" defaultRowHeight="15"/>
  <cols>
    <col min="1" max="1" width="9.7109375" customWidth="1"/>
    <col min="2" max="2" width="8.42578125" customWidth="1"/>
    <col min="3" max="3" width="8.42578125" bestFit="1" customWidth="1"/>
    <col min="4" max="4" width="9.28515625" bestFit="1" customWidth="1"/>
    <col min="5" max="5" width="12.28515625" bestFit="1" customWidth="1"/>
    <col min="6" max="6" width="11.42578125" bestFit="1" customWidth="1"/>
    <col min="7" max="8" width="12.140625" customWidth="1"/>
    <col min="9" max="9" width="8.85546875" bestFit="1" customWidth="1"/>
    <col min="10" max="11" width="11.85546875" bestFit="1" customWidth="1"/>
    <col min="12" max="12" width="12.28515625" bestFit="1" customWidth="1"/>
    <col min="13" max="14" width="13.140625" bestFit="1" customWidth="1"/>
    <col min="15" max="15" width="13.42578125" bestFit="1" customWidth="1"/>
    <col min="16" max="16" width="14.28515625" customWidth="1"/>
    <col min="17" max="17" width="12.42578125" bestFit="1" customWidth="1"/>
    <col min="18" max="18" width="9" bestFit="1" customWidth="1"/>
    <col min="19" max="19" width="12.28515625" bestFit="1" customWidth="1"/>
    <col min="20" max="20" width="12.85546875" bestFit="1" customWidth="1"/>
    <col min="21" max="22" width="12.28515625" bestFit="1" customWidth="1"/>
    <col min="23" max="23" width="12.85546875" bestFit="1" customWidth="1"/>
  </cols>
  <sheetData>
    <row r="1" spans="1:220" s="7" customFormat="1" ht="18.75">
      <c r="A1" s="1" t="s">
        <v>240</v>
      </c>
      <c r="B1" s="2"/>
      <c r="C1" s="1"/>
      <c r="D1" s="1"/>
      <c r="E1" s="1"/>
      <c r="F1" s="1"/>
      <c r="G1" s="1"/>
      <c r="H1" s="1"/>
      <c r="I1" s="1"/>
      <c r="J1" s="1"/>
      <c r="K1" s="1"/>
      <c r="L1" s="1"/>
      <c r="M1" s="1"/>
      <c r="N1" s="1"/>
      <c r="O1" s="1"/>
      <c r="P1" s="1"/>
      <c r="Q1" s="1"/>
      <c r="R1" s="1"/>
      <c r="S1" s="1"/>
      <c r="T1" s="1"/>
      <c r="U1" s="1"/>
      <c r="V1" s="1"/>
      <c r="W1" s="1"/>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9" customFormat="1">
      <c r="A3" s="105">
        <v>2022</v>
      </c>
      <c r="B3" s="54">
        <v>28</v>
      </c>
      <c r="C3" s="54">
        <v>3</v>
      </c>
      <c r="D3" s="19">
        <v>31</v>
      </c>
      <c r="E3" s="19">
        <v>22</v>
      </c>
      <c r="F3" s="19">
        <v>20</v>
      </c>
      <c r="G3" s="54">
        <v>28</v>
      </c>
      <c r="H3" s="54">
        <v>3</v>
      </c>
      <c r="I3" s="54">
        <v>117</v>
      </c>
      <c r="J3" s="54">
        <v>259</v>
      </c>
      <c r="K3" s="19">
        <v>376</v>
      </c>
      <c r="L3" s="54">
        <v>103.75</v>
      </c>
      <c r="M3" s="121">
        <v>196.84</v>
      </c>
      <c r="N3" s="54">
        <v>51</v>
      </c>
      <c r="O3" s="54">
        <v>593.9</v>
      </c>
      <c r="P3" s="19">
        <v>30.17</v>
      </c>
      <c r="Q3" s="54">
        <v>100</v>
      </c>
      <c r="R3" s="54">
        <v>173</v>
      </c>
      <c r="S3" s="504">
        <v>5517348</v>
      </c>
      <c r="T3" s="503">
        <v>5517348</v>
      </c>
      <c r="U3" s="504">
        <v>3243186</v>
      </c>
      <c r="V3" s="504">
        <v>2274162</v>
      </c>
      <c r="W3" s="19">
        <v>41.21</v>
      </c>
    </row>
    <row r="4" spans="1:220" s="14" customFormat="1">
      <c r="A4" s="10">
        <v>2021</v>
      </c>
      <c r="B4" s="17">
        <v>28</v>
      </c>
      <c r="C4" s="17">
        <v>3</v>
      </c>
      <c r="D4" s="23">
        <v>31</v>
      </c>
      <c r="E4" s="82">
        <v>22</v>
      </c>
      <c r="F4" s="82">
        <v>20</v>
      </c>
      <c r="G4" s="17">
        <v>28</v>
      </c>
      <c r="H4" s="17">
        <v>3</v>
      </c>
      <c r="I4" s="17">
        <v>106</v>
      </c>
      <c r="J4" s="17">
        <v>234</v>
      </c>
      <c r="K4" s="23">
        <v>340</v>
      </c>
      <c r="L4" s="17">
        <v>97.07</v>
      </c>
      <c r="M4" s="82">
        <v>182</v>
      </c>
      <c r="N4" s="17">
        <v>49</v>
      </c>
      <c r="O4" s="17">
        <v>609</v>
      </c>
      <c r="P4" s="133">
        <v>0.29809999999999998</v>
      </c>
      <c r="Q4" s="17">
        <v>148</v>
      </c>
      <c r="R4" s="17">
        <v>194</v>
      </c>
      <c r="S4" s="20">
        <v>5198153</v>
      </c>
      <c r="T4" s="24">
        <v>5198153</v>
      </c>
      <c r="U4" s="20">
        <v>3217503</v>
      </c>
      <c r="V4" s="20">
        <v>1980650</v>
      </c>
      <c r="W4" s="135">
        <v>0.38100000000000001</v>
      </c>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row>
    <row r="5" spans="1:220" s="14" customFormat="1">
      <c r="A5" s="10">
        <v>2020</v>
      </c>
      <c r="B5" s="17">
        <v>28</v>
      </c>
      <c r="C5" s="17">
        <v>3</v>
      </c>
      <c r="D5" s="23">
        <v>31</v>
      </c>
      <c r="E5" s="82">
        <v>23</v>
      </c>
      <c r="F5" s="82">
        <v>21</v>
      </c>
      <c r="G5" s="17">
        <v>28</v>
      </c>
      <c r="H5" s="17">
        <v>3</v>
      </c>
      <c r="I5" s="17">
        <v>135</v>
      </c>
      <c r="J5" s="17">
        <v>221</v>
      </c>
      <c r="K5" s="23">
        <v>356</v>
      </c>
      <c r="L5" s="17">
        <v>92.08</v>
      </c>
      <c r="M5" s="82">
        <v>199.08</v>
      </c>
      <c r="N5" s="17">
        <v>45</v>
      </c>
      <c r="O5" s="17">
        <v>644</v>
      </c>
      <c r="P5" s="133">
        <v>0.3236</v>
      </c>
      <c r="Q5" s="17">
        <v>141</v>
      </c>
      <c r="R5" s="17">
        <v>201</v>
      </c>
      <c r="S5" s="20">
        <v>5998653</v>
      </c>
      <c r="T5" s="24">
        <v>5998653</v>
      </c>
      <c r="U5" s="20">
        <v>3473449</v>
      </c>
      <c r="V5" s="20">
        <v>2525204</v>
      </c>
      <c r="W5" s="135">
        <v>0.42099999999999999</v>
      </c>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row>
    <row r="6" spans="1:220" s="14" customFormat="1">
      <c r="A6" s="10">
        <v>2019</v>
      </c>
      <c r="B6" s="17">
        <v>28</v>
      </c>
      <c r="C6" s="17">
        <v>3</v>
      </c>
      <c r="D6" s="23">
        <v>31</v>
      </c>
      <c r="E6" s="82">
        <v>37</v>
      </c>
      <c r="F6" s="82">
        <v>33</v>
      </c>
      <c r="G6" s="17">
        <v>28</v>
      </c>
      <c r="H6" s="17">
        <v>1</v>
      </c>
      <c r="I6" s="17">
        <v>52</v>
      </c>
      <c r="J6" s="17">
        <v>336</v>
      </c>
      <c r="K6" s="23">
        <f>SUM(I6:J6)</f>
        <v>388</v>
      </c>
      <c r="L6" s="17">
        <v>62.5</v>
      </c>
      <c r="M6" s="82">
        <f>(I6+L6)</f>
        <v>114.5</v>
      </c>
      <c r="N6" s="17">
        <v>63</v>
      </c>
      <c r="O6" s="17">
        <v>541</v>
      </c>
      <c r="P6" s="133">
        <f>M6/O6</f>
        <v>0.21164510166358594</v>
      </c>
      <c r="Q6" s="17">
        <v>111</v>
      </c>
      <c r="R6" s="17">
        <v>209</v>
      </c>
      <c r="S6" s="20">
        <v>6513813</v>
      </c>
      <c r="T6" s="24">
        <f>SUM(U6:V6)</f>
        <v>6513813</v>
      </c>
      <c r="U6" s="20">
        <v>3618484</v>
      </c>
      <c r="V6" s="20">
        <v>2895329</v>
      </c>
      <c r="W6" s="135">
        <f>V6/T6</f>
        <v>0.44449065393802373</v>
      </c>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row>
    <row r="7" spans="1:220" s="14" customFormat="1">
      <c r="A7" s="10">
        <v>2018</v>
      </c>
      <c r="B7" s="17">
        <v>29</v>
      </c>
      <c r="C7" s="17">
        <v>5</v>
      </c>
      <c r="D7" s="23">
        <f>SUM(B7:C7)</f>
        <v>34</v>
      </c>
      <c r="E7" s="82">
        <f>ROUND((O7/B7), 0)</f>
        <v>25</v>
      </c>
      <c r="F7" s="82">
        <f>ROUND((O7/D7), 0)</f>
        <v>21</v>
      </c>
      <c r="G7" s="17">
        <v>29</v>
      </c>
      <c r="H7" s="17">
        <v>3</v>
      </c>
      <c r="I7" s="17">
        <v>137</v>
      </c>
      <c r="J7" s="17">
        <v>239</v>
      </c>
      <c r="K7" s="23">
        <f t="shared" ref="K7" si="0">SUM(I7:J7)</f>
        <v>376</v>
      </c>
      <c r="L7" s="17">
        <v>101.59</v>
      </c>
      <c r="M7" s="82">
        <f>(I7+L7)</f>
        <v>238.59</v>
      </c>
      <c r="N7" s="17">
        <v>52</v>
      </c>
      <c r="O7" s="17">
        <v>728</v>
      </c>
      <c r="P7" s="133">
        <f>M7/O7</f>
        <v>0.32773351648351651</v>
      </c>
      <c r="Q7" s="17">
        <v>114</v>
      </c>
      <c r="R7" s="17">
        <v>185</v>
      </c>
      <c r="S7" s="20">
        <v>5279748</v>
      </c>
      <c r="T7" s="24">
        <f>SUM(U7:V7)</f>
        <v>5279748</v>
      </c>
      <c r="U7" s="20">
        <v>3266361</v>
      </c>
      <c r="V7" s="20">
        <v>2013387</v>
      </c>
      <c r="W7" s="135">
        <f>V7/T7</f>
        <v>0.38134149584411986</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27</v>
      </c>
      <c r="C8" s="17">
        <v>5</v>
      </c>
      <c r="D8" s="27">
        <f>SUM(B8:C8)</f>
        <v>32</v>
      </c>
      <c r="E8" s="27">
        <f>ROUND((O8/B8), 0)</f>
        <v>25</v>
      </c>
      <c r="F8" s="27">
        <f>ROUND((O8/D8), 0)</f>
        <v>21</v>
      </c>
      <c r="G8" s="17">
        <v>28</v>
      </c>
      <c r="H8" s="17">
        <v>2</v>
      </c>
      <c r="I8" s="17">
        <v>102</v>
      </c>
      <c r="J8" s="17">
        <v>229</v>
      </c>
      <c r="K8" s="27">
        <f>SUM(I8:J8)</f>
        <v>331</v>
      </c>
      <c r="L8" s="17">
        <v>93.4</v>
      </c>
      <c r="M8" s="29">
        <f>(I8+L8)</f>
        <v>195.4</v>
      </c>
      <c r="N8" s="255">
        <v>49</v>
      </c>
      <c r="O8" s="255">
        <v>663</v>
      </c>
      <c r="P8" s="133">
        <f t="shared" ref="P8:P23" si="1">M8/O8</f>
        <v>0.29472096530920061</v>
      </c>
      <c r="Q8" s="17">
        <v>158</v>
      </c>
      <c r="R8" s="17">
        <v>167</v>
      </c>
      <c r="S8" s="223">
        <v>6047233.8600000003</v>
      </c>
      <c r="T8" s="28">
        <f>SUM(U8:V8)</f>
        <v>6047234</v>
      </c>
      <c r="U8" s="252">
        <v>3156826</v>
      </c>
      <c r="V8" s="20">
        <v>2890408</v>
      </c>
      <c r="W8" s="135">
        <f t="shared" ref="W8:W23" si="2">V8/T8</f>
        <v>0.47797191244790593</v>
      </c>
    </row>
    <row r="9" spans="1:220" s="9" customFormat="1">
      <c r="A9" s="10">
        <v>2016</v>
      </c>
      <c r="B9" s="54">
        <v>29</v>
      </c>
      <c r="C9" s="54">
        <v>4</v>
      </c>
      <c r="D9" s="23">
        <f>SUM(B9:C9)</f>
        <v>33</v>
      </c>
      <c r="E9" s="82">
        <f>ROUND((O9/B9), 0)</f>
        <v>21</v>
      </c>
      <c r="F9" s="82">
        <f>ROUND((O9/D9), 0)</f>
        <v>19</v>
      </c>
      <c r="G9" s="66">
        <v>29</v>
      </c>
      <c r="H9" s="66">
        <v>2</v>
      </c>
      <c r="I9" s="54">
        <v>109</v>
      </c>
      <c r="J9" s="54">
        <v>247</v>
      </c>
      <c r="K9" s="23">
        <f>SUM(I9:J9)</f>
        <v>356</v>
      </c>
      <c r="L9" s="54">
        <v>98</v>
      </c>
      <c r="M9" s="82">
        <f>(I9+L9)</f>
        <v>207</v>
      </c>
      <c r="N9" s="54">
        <v>61</v>
      </c>
      <c r="O9" s="116">
        <v>621</v>
      </c>
      <c r="P9" s="133">
        <f t="shared" si="1"/>
        <v>0.33333333333333331</v>
      </c>
      <c r="Q9" s="54">
        <v>105</v>
      </c>
      <c r="R9" s="54">
        <v>136</v>
      </c>
      <c r="S9" s="55">
        <v>6507983</v>
      </c>
      <c r="T9" s="68">
        <f>SUM(U9:V9)</f>
        <v>6507983</v>
      </c>
      <c r="U9" s="55">
        <v>3741115</v>
      </c>
      <c r="V9" s="55">
        <v>2766868</v>
      </c>
      <c r="W9" s="135">
        <f t="shared" si="2"/>
        <v>0.42514985057582355</v>
      </c>
    </row>
    <row r="10" spans="1:220" s="16" customFormat="1">
      <c r="A10" s="10">
        <v>2015</v>
      </c>
      <c r="B10" s="70">
        <v>34</v>
      </c>
      <c r="C10" s="70">
        <v>3</v>
      </c>
      <c r="D10" s="65">
        <v>34</v>
      </c>
      <c r="E10" s="124">
        <v>25.9</v>
      </c>
      <c r="F10" s="124">
        <v>16.7</v>
      </c>
      <c r="G10" s="83"/>
      <c r="H10" s="83"/>
      <c r="I10" s="70">
        <v>96</v>
      </c>
      <c r="J10" s="70">
        <v>270</v>
      </c>
      <c r="K10" s="65">
        <v>367</v>
      </c>
      <c r="L10" s="70">
        <v>129</v>
      </c>
      <c r="M10" s="13">
        <v>225</v>
      </c>
      <c r="N10" s="70">
        <v>58</v>
      </c>
      <c r="O10" s="125">
        <v>570.5</v>
      </c>
      <c r="P10" s="133">
        <f t="shared" si="1"/>
        <v>0.39439088518843118</v>
      </c>
      <c r="Q10" s="70">
        <v>128</v>
      </c>
      <c r="R10" s="70">
        <v>131</v>
      </c>
      <c r="S10" s="78">
        <v>8548110</v>
      </c>
      <c r="T10" s="79">
        <v>8548112</v>
      </c>
      <c r="U10" s="78">
        <v>5151182</v>
      </c>
      <c r="V10" s="78">
        <v>3396930</v>
      </c>
      <c r="W10" s="135">
        <f t="shared" si="2"/>
        <v>0.39738950542529156</v>
      </c>
    </row>
    <row r="11" spans="1:220" s="16" customFormat="1">
      <c r="A11" s="15">
        <v>2014</v>
      </c>
      <c r="B11" s="70">
        <v>34</v>
      </c>
      <c r="C11" s="70">
        <v>0</v>
      </c>
      <c r="D11" s="65">
        <f>B11+C11</f>
        <v>34</v>
      </c>
      <c r="E11" s="13">
        <f>ROUND((O11/B11), 0)</f>
        <v>18</v>
      </c>
      <c r="F11" s="124">
        <v>18</v>
      </c>
      <c r="G11" s="83"/>
      <c r="H11" s="83"/>
      <c r="I11" s="70">
        <v>96</v>
      </c>
      <c r="J11" s="70">
        <v>287</v>
      </c>
      <c r="K11" s="65">
        <v>383</v>
      </c>
      <c r="L11" s="70">
        <v>134</v>
      </c>
      <c r="M11" s="13">
        <v>230</v>
      </c>
      <c r="N11" s="70">
        <v>55</v>
      </c>
      <c r="O11" s="125">
        <v>615.29999999999995</v>
      </c>
      <c r="P11" s="133">
        <f t="shared" si="1"/>
        <v>0.37380139769218268</v>
      </c>
      <c r="Q11" s="70">
        <v>150</v>
      </c>
      <c r="R11" s="70">
        <v>122</v>
      </c>
      <c r="S11" s="71">
        <v>9048428</v>
      </c>
      <c r="T11" s="68">
        <f t="shared" ref="T11:T23" si="3">SUM(U11:V11)</f>
        <v>9048432</v>
      </c>
      <c r="U11" s="71">
        <v>4578527</v>
      </c>
      <c r="V11" s="71">
        <v>4469905</v>
      </c>
      <c r="W11" s="135">
        <f t="shared" si="2"/>
        <v>0.49399774458160267</v>
      </c>
    </row>
    <row r="12" spans="1:220">
      <c r="A12" s="15">
        <v>2013</v>
      </c>
      <c r="B12" s="528">
        <v>32</v>
      </c>
      <c r="C12" s="528">
        <v>0.25</v>
      </c>
      <c r="D12" s="23">
        <f>B12+C12</f>
        <v>32.25</v>
      </c>
      <c r="E12" s="151">
        <v>26.6</v>
      </c>
      <c r="F12" s="151">
        <v>17.600000000000001</v>
      </c>
      <c r="G12" s="85"/>
      <c r="H12" s="85"/>
      <c r="I12" s="528">
        <v>108</v>
      </c>
      <c r="J12" s="528">
        <v>258</v>
      </c>
      <c r="K12" s="23">
        <v>367</v>
      </c>
      <c r="L12" s="528">
        <v>139</v>
      </c>
      <c r="M12" s="82">
        <v>247</v>
      </c>
      <c r="N12" s="528">
        <v>17</v>
      </c>
      <c r="O12" s="131">
        <v>601.6</v>
      </c>
      <c r="P12" s="133">
        <f t="shared" si="1"/>
        <v>0.41057180851063829</v>
      </c>
      <c r="Q12" s="528">
        <v>233</v>
      </c>
      <c r="R12" s="528">
        <v>88</v>
      </c>
      <c r="S12" s="84">
        <v>7565905</v>
      </c>
      <c r="T12" s="24">
        <f t="shared" si="3"/>
        <v>7409032</v>
      </c>
      <c r="U12" s="84">
        <v>4244701</v>
      </c>
      <c r="V12" s="84">
        <v>3164331</v>
      </c>
      <c r="W12" s="135">
        <f t="shared" si="2"/>
        <v>0.4270910153985028</v>
      </c>
    </row>
    <row r="13" spans="1:220">
      <c r="A13" s="15">
        <v>2012</v>
      </c>
      <c r="B13" s="528">
        <v>32</v>
      </c>
      <c r="C13" s="528">
        <v>0.5</v>
      </c>
      <c r="D13" s="23">
        <f>B13+C13</f>
        <v>32.5</v>
      </c>
      <c r="E13" s="82">
        <f t="shared" ref="E13:E23" si="4">ROUND((O13/B13), 0)</f>
        <v>18</v>
      </c>
      <c r="F13" s="151">
        <v>17.899999999999999</v>
      </c>
      <c r="G13" s="85"/>
      <c r="H13" s="85"/>
      <c r="I13" s="528">
        <v>118</v>
      </c>
      <c r="J13" s="528">
        <v>375</v>
      </c>
      <c r="K13" s="23">
        <f>I13+J13</f>
        <v>493</v>
      </c>
      <c r="L13" s="528">
        <v>143</v>
      </c>
      <c r="M13" s="82">
        <v>261</v>
      </c>
      <c r="N13" s="528">
        <v>34</v>
      </c>
      <c r="O13" s="131">
        <v>574.6</v>
      </c>
      <c r="P13" s="133">
        <f t="shared" si="1"/>
        <v>0.45422902888966238</v>
      </c>
      <c r="Q13" s="528">
        <v>204</v>
      </c>
      <c r="R13" s="528">
        <v>77</v>
      </c>
      <c r="S13" s="84">
        <v>7469915</v>
      </c>
      <c r="T13" s="24">
        <f t="shared" si="3"/>
        <v>7469915</v>
      </c>
      <c r="U13" s="84">
        <v>3415070</v>
      </c>
      <c r="V13" s="84">
        <v>4054845</v>
      </c>
      <c r="W13" s="135">
        <f t="shared" si="2"/>
        <v>0.54282344578218089</v>
      </c>
    </row>
    <row r="14" spans="1:220">
      <c r="A14" s="15" t="s">
        <v>26</v>
      </c>
      <c r="B14" s="528">
        <v>34</v>
      </c>
      <c r="C14" s="528">
        <v>1</v>
      </c>
      <c r="D14" s="23">
        <f t="shared" ref="D14:D23" si="5">SUM(B14:C14)</f>
        <v>35</v>
      </c>
      <c r="E14" s="82">
        <f t="shared" si="4"/>
        <v>17</v>
      </c>
      <c r="F14" s="82">
        <f t="shared" ref="F14:F23" si="6">ROUND((O14/D14), 0)</f>
        <v>16</v>
      </c>
      <c r="G14" s="85"/>
      <c r="H14" s="85"/>
      <c r="I14" s="528">
        <v>141</v>
      </c>
      <c r="J14" s="528">
        <v>397</v>
      </c>
      <c r="K14" s="23">
        <f t="shared" ref="K14:K23" si="7">SUM(I14:J14)</f>
        <v>538</v>
      </c>
      <c r="L14" s="528">
        <v>147</v>
      </c>
      <c r="M14" s="82">
        <v>288</v>
      </c>
      <c r="N14" s="528">
        <v>37</v>
      </c>
      <c r="O14" s="131">
        <v>577.01</v>
      </c>
      <c r="P14" s="133">
        <f t="shared" si="1"/>
        <v>0.49912479853035474</v>
      </c>
      <c r="Q14" s="528">
        <v>210</v>
      </c>
      <c r="R14" s="528">
        <v>68</v>
      </c>
      <c r="S14" s="84">
        <v>6257249</v>
      </c>
      <c r="T14" s="24">
        <f t="shared" si="3"/>
        <v>6706053.1800000006</v>
      </c>
      <c r="U14" s="84">
        <v>1647881</v>
      </c>
      <c r="V14" s="84">
        <v>5058172.1800000006</v>
      </c>
      <c r="W14" s="135">
        <f t="shared" si="2"/>
        <v>0.75426961943657</v>
      </c>
    </row>
    <row r="15" spans="1:220">
      <c r="A15" s="15" t="s">
        <v>27</v>
      </c>
      <c r="B15" s="528">
        <v>34</v>
      </c>
      <c r="C15" s="528">
        <v>0.5</v>
      </c>
      <c r="D15" s="23">
        <f t="shared" si="5"/>
        <v>34.5</v>
      </c>
      <c r="E15" s="82">
        <f t="shared" si="4"/>
        <v>14</v>
      </c>
      <c r="F15" s="82">
        <f t="shared" si="6"/>
        <v>14</v>
      </c>
      <c r="G15" s="85"/>
      <c r="H15" s="85"/>
      <c r="I15" s="528">
        <v>152</v>
      </c>
      <c r="J15" s="528">
        <v>471</v>
      </c>
      <c r="K15" s="23">
        <f t="shared" si="7"/>
        <v>623</v>
      </c>
      <c r="L15" s="528">
        <v>139</v>
      </c>
      <c r="M15" s="82">
        <f>(I15+L15)</f>
        <v>291</v>
      </c>
      <c r="N15" s="528">
        <v>38</v>
      </c>
      <c r="O15" s="131">
        <v>466.5</v>
      </c>
      <c r="P15" s="133">
        <f t="shared" si="1"/>
        <v>0.6237942122186495</v>
      </c>
      <c r="Q15" s="528">
        <v>207</v>
      </c>
      <c r="R15" s="528">
        <v>68</v>
      </c>
      <c r="S15" s="84">
        <v>5675991.9899999993</v>
      </c>
      <c r="T15" s="24">
        <f t="shared" si="3"/>
        <v>5675992</v>
      </c>
      <c r="U15" s="84">
        <v>1331530</v>
      </c>
      <c r="V15" s="84">
        <v>4344462</v>
      </c>
      <c r="W15" s="135">
        <f t="shared" si="2"/>
        <v>0.76541016971130338</v>
      </c>
    </row>
    <row r="16" spans="1:220">
      <c r="A16" s="15" t="s">
        <v>28</v>
      </c>
      <c r="B16" s="528">
        <v>32</v>
      </c>
      <c r="C16" s="528">
        <v>1</v>
      </c>
      <c r="D16" s="23">
        <f t="shared" si="5"/>
        <v>33</v>
      </c>
      <c r="E16" s="82">
        <f t="shared" si="4"/>
        <v>16</v>
      </c>
      <c r="F16" s="82">
        <f t="shared" si="6"/>
        <v>16</v>
      </c>
      <c r="G16" s="85"/>
      <c r="H16" s="85"/>
      <c r="I16" s="528">
        <v>190</v>
      </c>
      <c r="J16" s="528">
        <v>477</v>
      </c>
      <c r="K16" s="23">
        <f t="shared" si="7"/>
        <v>667</v>
      </c>
      <c r="L16" s="528">
        <v>151</v>
      </c>
      <c r="M16" s="82">
        <f>(I16+L16)</f>
        <v>341</v>
      </c>
      <c r="N16" s="528">
        <v>43</v>
      </c>
      <c r="O16" s="131">
        <v>519</v>
      </c>
      <c r="P16" s="133">
        <f t="shared" si="1"/>
        <v>0.65703275529865124</v>
      </c>
      <c r="Q16" s="528">
        <v>195</v>
      </c>
      <c r="R16" s="528">
        <v>42</v>
      </c>
      <c r="S16" s="84">
        <v>5356277.5</v>
      </c>
      <c r="T16" s="24">
        <f t="shared" si="3"/>
        <v>3679069</v>
      </c>
      <c r="U16" s="84">
        <v>1770149</v>
      </c>
      <c r="V16" s="84">
        <v>1908920</v>
      </c>
      <c r="W16" s="135">
        <f t="shared" si="2"/>
        <v>0.51885952669004032</v>
      </c>
    </row>
    <row r="17" spans="1:25">
      <c r="A17" s="15" t="s">
        <v>29</v>
      </c>
      <c r="B17" s="528">
        <v>26</v>
      </c>
      <c r="C17" s="528">
        <v>1</v>
      </c>
      <c r="D17" s="23">
        <f t="shared" si="5"/>
        <v>27</v>
      </c>
      <c r="E17" s="82">
        <f t="shared" si="4"/>
        <v>18</v>
      </c>
      <c r="F17" s="82">
        <f t="shared" si="6"/>
        <v>17</v>
      </c>
      <c r="G17" s="85"/>
      <c r="H17" s="85"/>
      <c r="I17" s="528">
        <v>160</v>
      </c>
      <c r="J17" s="528">
        <v>394</v>
      </c>
      <c r="K17" s="23">
        <f t="shared" si="7"/>
        <v>554</v>
      </c>
      <c r="L17" s="528">
        <v>155.19999999999999</v>
      </c>
      <c r="M17" s="82">
        <f>(I17+L17)</f>
        <v>315.2</v>
      </c>
      <c r="N17" s="528">
        <v>36</v>
      </c>
      <c r="O17" s="131">
        <v>466</v>
      </c>
      <c r="P17" s="133">
        <f t="shared" si="1"/>
        <v>0.67639484978540765</v>
      </c>
      <c r="Q17" s="528">
        <v>166</v>
      </c>
      <c r="R17" s="528">
        <v>31</v>
      </c>
      <c r="S17" s="84">
        <v>4695372</v>
      </c>
      <c r="T17" s="24">
        <f t="shared" si="3"/>
        <v>4695372</v>
      </c>
      <c r="U17" s="84">
        <v>2037314</v>
      </c>
      <c r="V17" s="84">
        <v>2658058</v>
      </c>
      <c r="W17" s="135">
        <f t="shared" si="2"/>
        <v>0.56610168480793432</v>
      </c>
    </row>
    <row r="18" spans="1:25">
      <c r="A18" s="15">
        <v>2007</v>
      </c>
      <c r="B18" s="528">
        <v>24</v>
      </c>
      <c r="C18" s="528">
        <v>1</v>
      </c>
      <c r="D18" s="23">
        <f t="shared" si="5"/>
        <v>25</v>
      </c>
      <c r="E18" s="82">
        <f t="shared" si="4"/>
        <v>20</v>
      </c>
      <c r="F18" s="82">
        <f t="shared" si="6"/>
        <v>19</v>
      </c>
      <c r="G18" s="85"/>
      <c r="H18" s="85"/>
      <c r="I18" s="528">
        <v>145</v>
      </c>
      <c r="J18" s="528">
        <v>392</v>
      </c>
      <c r="K18" s="23">
        <f t="shared" si="7"/>
        <v>537</v>
      </c>
      <c r="L18" s="528">
        <v>175.2</v>
      </c>
      <c r="M18" s="82">
        <v>320</v>
      </c>
      <c r="N18" s="528">
        <v>42</v>
      </c>
      <c r="O18" s="131">
        <v>476</v>
      </c>
      <c r="P18" s="133">
        <f t="shared" si="1"/>
        <v>0.67226890756302526</v>
      </c>
      <c r="Q18" s="528">
        <v>128</v>
      </c>
      <c r="R18" s="528">
        <v>52</v>
      </c>
      <c r="S18" s="132">
        <v>4307626</v>
      </c>
      <c r="T18" s="24">
        <f t="shared" si="3"/>
        <v>4307626</v>
      </c>
      <c r="U18" s="132">
        <v>1852739</v>
      </c>
      <c r="V18" s="132">
        <v>2454887</v>
      </c>
      <c r="W18" s="135">
        <f t="shared" si="2"/>
        <v>0.56989325442830918</v>
      </c>
      <c r="Y18" s="248"/>
    </row>
    <row r="19" spans="1:25">
      <c r="A19" s="15">
        <v>2006</v>
      </c>
      <c r="B19" s="528">
        <v>19</v>
      </c>
      <c r="C19" s="528">
        <v>9</v>
      </c>
      <c r="D19" s="23">
        <f t="shared" si="5"/>
        <v>28</v>
      </c>
      <c r="E19" s="82">
        <f t="shared" si="4"/>
        <v>18</v>
      </c>
      <c r="F19" s="82">
        <f t="shared" si="6"/>
        <v>12</v>
      </c>
      <c r="G19" s="85"/>
      <c r="H19" s="85"/>
      <c r="I19" s="528">
        <v>133</v>
      </c>
      <c r="J19" s="528">
        <v>390</v>
      </c>
      <c r="K19" s="23">
        <f t="shared" si="7"/>
        <v>523</v>
      </c>
      <c r="L19" s="528">
        <v>173</v>
      </c>
      <c r="M19" s="82">
        <f>(I19+L19)</f>
        <v>306</v>
      </c>
      <c r="N19" s="528">
        <v>40</v>
      </c>
      <c r="O19" s="131">
        <v>338</v>
      </c>
      <c r="P19" s="133">
        <f t="shared" si="1"/>
        <v>0.90532544378698221</v>
      </c>
      <c r="Q19" s="528">
        <v>122</v>
      </c>
      <c r="R19" s="528">
        <v>32</v>
      </c>
      <c r="S19" s="132">
        <v>3307544</v>
      </c>
      <c r="T19" s="24">
        <f t="shared" si="3"/>
        <v>3319667</v>
      </c>
      <c r="U19" s="132">
        <v>1273656</v>
      </c>
      <c r="V19" s="132">
        <v>2046011</v>
      </c>
      <c r="W19" s="135">
        <f t="shared" si="2"/>
        <v>0.61633019215481555</v>
      </c>
      <c r="Y19" s="248"/>
    </row>
    <row r="20" spans="1:25">
      <c r="A20" s="15">
        <v>2005</v>
      </c>
      <c r="B20" s="528">
        <v>18</v>
      </c>
      <c r="C20" s="528">
        <v>10</v>
      </c>
      <c r="D20" s="23">
        <f t="shared" si="5"/>
        <v>28</v>
      </c>
      <c r="E20" s="82">
        <f t="shared" si="4"/>
        <v>20</v>
      </c>
      <c r="F20" s="82">
        <f t="shared" si="6"/>
        <v>13</v>
      </c>
      <c r="G20" s="85"/>
      <c r="H20" s="85"/>
      <c r="I20" s="528">
        <v>54</v>
      </c>
      <c r="J20" s="528">
        <v>374</v>
      </c>
      <c r="K20" s="23">
        <f t="shared" si="7"/>
        <v>428</v>
      </c>
      <c r="L20" s="528">
        <v>151</v>
      </c>
      <c r="M20" s="82">
        <f>(I20+L20)</f>
        <v>205</v>
      </c>
      <c r="N20" s="528">
        <v>9</v>
      </c>
      <c r="O20" s="131">
        <v>353.4</v>
      </c>
      <c r="P20" s="133">
        <f t="shared" si="1"/>
        <v>0.5800792303338993</v>
      </c>
      <c r="Q20" s="528">
        <v>105</v>
      </c>
      <c r="R20" s="528">
        <v>47</v>
      </c>
      <c r="S20" s="132">
        <v>2861462</v>
      </c>
      <c r="T20" s="24">
        <f t="shared" si="3"/>
        <v>2861462</v>
      </c>
      <c r="U20" s="132">
        <v>1217880</v>
      </c>
      <c r="V20" s="132">
        <v>1643582</v>
      </c>
      <c r="W20" s="135">
        <f t="shared" si="2"/>
        <v>0.57438540158841878</v>
      </c>
      <c r="Y20" s="248"/>
    </row>
    <row r="21" spans="1:25">
      <c r="A21" s="15">
        <v>2004</v>
      </c>
      <c r="B21" s="528">
        <v>18</v>
      </c>
      <c r="C21" s="528">
        <v>4</v>
      </c>
      <c r="D21" s="23">
        <f t="shared" si="5"/>
        <v>22</v>
      </c>
      <c r="E21" s="82">
        <f t="shared" si="4"/>
        <v>19</v>
      </c>
      <c r="F21" s="82">
        <f t="shared" si="6"/>
        <v>16</v>
      </c>
      <c r="G21" s="85"/>
      <c r="H21" s="85"/>
      <c r="I21" s="528">
        <v>85</v>
      </c>
      <c r="J21" s="528">
        <v>243</v>
      </c>
      <c r="K21" s="23">
        <f t="shared" si="7"/>
        <v>328</v>
      </c>
      <c r="L21" s="528">
        <v>130</v>
      </c>
      <c r="M21" s="82">
        <f>(I21+L21)</f>
        <v>215</v>
      </c>
      <c r="N21" s="528">
        <v>6</v>
      </c>
      <c r="O21" s="131">
        <v>347</v>
      </c>
      <c r="P21" s="133">
        <f t="shared" si="1"/>
        <v>0.6195965417867435</v>
      </c>
      <c r="Q21" s="528">
        <v>128</v>
      </c>
      <c r="R21" s="528">
        <v>37</v>
      </c>
      <c r="S21" s="132">
        <v>2877541</v>
      </c>
      <c r="T21" s="24">
        <f t="shared" si="3"/>
        <v>2877541</v>
      </c>
      <c r="U21" s="132">
        <v>1553678</v>
      </c>
      <c r="V21" s="132">
        <v>1323863</v>
      </c>
      <c r="W21" s="135">
        <f t="shared" si="2"/>
        <v>0.46006746732713799</v>
      </c>
    </row>
    <row r="22" spans="1:25">
      <c r="A22" s="15">
        <v>2003</v>
      </c>
      <c r="B22" s="528">
        <v>15</v>
      </c>
      <c r="C22" s="528">
        <v>3</v>
      </c>
      <c r="D22" s="23">
        <f t="shared" si="5"/>
        <v>18</v>
      </c>
      <c r="E22" s="82">
        <f t="shared" si="4"/>
        <v>22</v>
      </c>
      <c r="F22" s="82">
        <f t="shared" si="6"/>
        <v>18</v>
      </c>
      <c r="G22" s="85"/>
      <c r="H22" s="85"/>
      <c r="I22" s="528">
        <v>68</v>
      </c>
      <c r="J22" s="528">
        <v>233</v>
      </c>
      <c r="K22" s="23">
        <f t="shared" si="7"/>
        <v>301</v>
      </c>
      <c r="L22" s="528">
        <v>125</v>
      </c>
      <c r="M22" s="82">
        <f>(I22+L22)</f>
        <v>193</v>
      </c>
      <c r="N22" s="528">
        <v>21</v>
      </c>
      <c r="O22" s="131">
        <v>331</v>
      </c>
      <c r="P22" s="133">
        <f t="shared" si="1"/>
        <v>0.58308157099697888</v>
      </c>
      <c r="Q22" s="528">
        <v>122</v>
      </c>
      <c r="R22" s="528">
        <v>47</v>
      </c>
      <c r="S22" s="132">
        <v>2018737</v>
      </c>
      <c r="T22" s="24">
        <f t="shared" si="3"/>
        <v>2386574</v>
      </c>
      <c r="U22" s="132">
        <v>1291417</v>
      </c>
      <c r="V22" s="132">
        <v>1095157</v>
      </c>
      <c r="W22" s="135">
        <f t="shared" si="2"/>
        <v>0.45888248174998975</v>
      </c>
    </row>
    <row r="23" spans="1:25">
      <c r="A23" s="15" t="s">
        <v>241</v>
      </c>
      <c r="B23" s="528">
        <v>13</v>
      </c>
      <c r="C23" s="528">
        <f>ROUND(5.1, 0)</f>
        <v>5</v>
      </c>
      <c r="D23" s="23">
        <f t="shared" si="5"/>
        <v>18</v>
      </c>
      <c r="E23" s="82">
        <f t="shared" si="4"/>
        <v>23</v>
      </c>
      <c r="F23" s="82">
        <f t="shared" si="6"/>
        <v>16</v>
      </c>
      <c r="G23" s="85"/>
      <c r="H23" s="85"/>
      <c r="I23" s="528">
        <v>83</v>
      </c>
      <c r="J23" s="528">
        <v>227</v>
      </c>
      <c r="K23" s="23">
        <f t="shared" si="7"/>
        <v>310</v>
      </c>
      <c r="L23" s="528">
        <v>84</v>
      </c>
      <c r="M23" s="82">
        <f>(I23+L23)</f>
        <v>167</v>
      </c>
      <c r="N23" s="528">
        <v>15</v>
      </c>
      <c r="O23" s="131">
        <v>294</v>
      </c>
      <c r="P23" s="133">
        <f t="shared" si="1"/>
        <v>0.56802721088435371</v>
      </c>
      <c r="Q23" s="528">
        <v>98</v>
      </c>
      <c r="R23" s="528">
        <v>28</v>
      </c>
      <c r="S23" s="132">
        <v>1765613</v>
      </c>
      <c r="T23" s="24">
        <f t="shared" si="3"/>
        <v>2138804</v>
      </c>
      <c r="U23" s="132">
        <v>1566791</v>
      </c>
      <c r="V23" s="132">
        <v>572013</v>
      </c>
      <c r="W23" s="135">
        <f t="shared" si="2"/>
        <v>0.26744526380163869</v>
      </c>
    </row>
    <row r="24" spans="1:25" s="12" customFormat="1">
      <c r="G24"/>
      <c r="H24"/>
    </row>
    <row r="25" spans="1:25" s="12" customFormat="1">
      <c r="G25"/>
      <c r="H25"/>
    </row>
    <row r="26" spans="1:25" s="12" customFormat="1">
      <c r="G26"/>
      <c r="H26"/>
    </row>
    <row r="27" spans="1:25" s="12" customFormat="1">
      <c r="G27"/>
      <c r="H27"/>
    </row>
    <row r="28" spans="1:25" s="12" customFormat="1">
      <c r="G28"/>
      <c r="H28"/>
    </row>
    <row r="29" spans="1:25" s="12" customFormat="1">
      <c r="G29"/>
      <c r="H29"/>
    </row>
    <row r="30" spans="1:25" s="12" customFormat="1">
      <c r="G30"/>
      <c r="H30"/>
    </row>
    <row r="31" spans="1:25" s="12" customFormat="1">
      <c r="G31"/>
      <c r="H31"/>
    </row>
    <row r="32" spans="1:25" s="12" customFormat="1">
      <c r="G32"/>
      <c r="H32"/>
    </row>
    <row r="33" spans="7:8" s="12" customFormat="1">
      <c r="G33"/>
      <c r="H33"/>
    </row>
  </sheetData>
  <printOptions headings="1" gridLines="1"/>
  <pageMargins left="0.5" right="0.5" top="0.5" bottom="0.5" header="0" footer="0"/>
  <pageSetup paperSize="5" scale="66" orientation="landscape"/>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L34"/>
  <sheetViews>
    <sheetView workbookViewId="0">
      <selection activeCell="J9" sqref="J9"/>
    </sheetView>
  </sheetViews>
  <sheetFormatPr defaultColWidth="8.7109375" defaultRowHeight="15"/>
  <cols>
    <col min="1" max="1" width="10" style="63" customWidth="1"/>
    <col min="2" max="2" width="8.140625" style="63" customWidth="1"/>
    <col min="3" max="3" width="8.42578125" style="63" bestFit="1" customWidth="1"/>
    <col min="4" max="4" width="9.28515625" style="63" bestFit="1" customWidth="1"/>
    <col min="5" max="5" width="12.28515625" style="63" bestFit="1" customWidth="1"/>
    <col min="6" max="6" width="11.42578125" style="63" bestFit="1" customWidth="1"/>
    <col min="7" max="8" width="12.140625" style="63" customWidth="1"/>
    <col min="9" max="9" width="8.7109375" style="63" bestFit="1" customWidth="1"/>
    <col min="10" max="11" width="11.7109375" style="63" bestFit="1" customWidth="1"/>
    <col min="12" max="12" width="12.28515625" style="63" bestFit="1" customWidth="1"/>
    <col min="13" max="13" width="13.140625" style="63" bestFit="1" customWidth="1"/>
    <col min="14" max="14" width="11" style="63" customWidth="1"/>
    <col min="15" max="15" width="13.42578125" style="63" bestFit="1" customWidth="1"/>
    <col min="16" max="16" width="14.28515625" style="63" customWidth="1"/>
    <col min="17" max="17" width="12.42578125" style="63" bestFit="1" customWidth="1"/>
    <col min="18" max="18" width="9" style="63" bestFit="1" customWidth="1"/>
    <col min="19" max="19" width="11.7109375" style="63" bestFit="1" customWidth="1"/>
    <col min="20" max="20" width="12.7109375" style="63" bestFit="1" customWidth="1"/>
    <col min="21" max="21" width="10.42578125" style="63" bestFit="1" customWidth="1"/>
    <col min="22" max="22" width="10.7109375" style="63" bestFit="1" customWidth="1"/>
    <col min="23" max="23" width="12.7109375" style="63" bestFit="1" customWidth="1"/>
    <col min="24" max="16384" width="8.7109375" style="63"/>
  </cols>
  <sheetData>
    <row r="1" spans="1:220" s="1" customFormat="1" ht="18.75">
      <c r="A1" s="1" t="s">
        <v>51</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row>
    <row r="2" spans="1:220" s="3"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row>
    <row r="3" spans="1:220" s="301" customFormat="1">
      <c r="A3" s="105">
        <v>2022</v>
      </c>
      <c r="B3" s="66">
        <v>10</v>
      </c>
      <c r="C3" s="66">
        <v>7.5</v>
      </c>
      <c r="D3" s="65">
        <f t="shared" ref="D3" si="0">SUM(B3:C3)</f>
        <v>17.5</v>
      </c>
      <c r="E3" s="82">
        <f t="shared" ref="E3" si="1">ROUND((O3/B3), 0)</f>
        <v>29</v>
      </c>
      <c r="F3" s="82">
        <f t="shared" ref="F3" si="2">ROUND((O3/D3), 0)</f>
        <v>16</v>
      </c>
      <c r="G3" s="66">
        <v>10</v>
      </c>
      <c r="H3" s="66">
        <v>7.5</v>
      </c>
      <c r="I3" s="66">
        <v>124</v>
      </c>
      <c r="J3" s="66">
        <v>282</v>
      </c>
      <c r="K3" s="23">
        <f t="shared" ref="K3" si="3">SUM(I3:J3)</f>
        <v>406</v>
      </c>
      <c r="L3" s="66">
        <v>152</v>
      </c>
      <c r="M3" s="82">
        <f>(I3+L3)</f>
        <v>276</v>
      </c>
      <c r="N3" s="66">
        <v>50</v>
      </c>
      <c r="O3" s="66">
        <v>285</v>
      </c>
      <c r="P3" s="133">
        <f>M3/O3</f>
        <v>0.96842105263157896</v>
      </c>
      <c r="Q3" s="66">
        <v>107</v>
      </c>
      <c r="R3" s="66">
        <v>1</v>
      </c>
      <c r="S3" s="20">
        <v>2111692</v>
      </c>
      <c r="T3" s="24">
        <f t="shared" ref="T3" si="4">SUM(U3:V3)</f>
        <v>331893</v>
      </c>
      <c r="U3" s="20">
        <v>218329</v>
      </c>
      <c r="V3" s="345">
        <v>113564</v>
      </c>
      <c r="W3" s="135">
        <f>V3/U3</f>
        <v>0.52015078161856643</v>
      </c>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row>
    <row r="4" spans="1:220" customFormat="1">
      <c r="A4" s="10">
        <v>2021</v>
      </c>
      <c r="B4" s="17">
        <v>10</v>
      </c>
      <c r="C4" s="17">
        <v>5</v>
      </c>
      <c r="D4" s="23">
        <f t="shared" ref="D4" si="5">SUM(B4:C4)</f>
        <v>15</v>
      </c>
      <c r="E4" s="82">
        <f t="shared" ref="E4" si="6">ROUND((O4/B4), 0)</f>
        <v>20</v>
      </c>
      <c r="F4" s="82">
        <f t="shared" ref="F4" si="7">ROUND((O4/D4), 0)</f>
        <v>13</v>
      </c>
      <c r="G4" s="17">
        <v>10</v>
      </c>
      <c r="H4" s="17">
        <v>5</v>
      </c>
      <c r="I4" s="17">
        <v>25</v>
      </c>
      <c r="J4" s="17">
        <v>324</v>
      </c>
      <c r="K4" s="23">
        <f t="shared" ref="K4" si="8">SUM(I4:J4)</f>
        <v>349</v>
      </c>
      <c r="L4" s="17">
        <v>157</v>
      </c>
      <c r="M4" s="82">
        <f>(I4+L4)</f>
        <v>182</v>
      </c>
      <c r="N4" s="17">
        <v>36</v>
      </c>
      <c r="O4" s="17">
        <v>199</v>
      </c>
      <c r="P4" s="133">
        <f>M4/O4</f>
        <v>0.914572864321608</v>
      </c>
      <c r="Q4" s="17">
        <v>93</v>
      </c>
      <c r="R4" s="17">
        <v>0</v>
      </c>
      <c r="S4" s="20">
        <v>1595234</v>
      </c>
      <c r="T4" s="24">
        <f t="shared" ref="T4" si="9">SUM(U4:V4)</f>
        <v>1720051</v>
      </c>
      <c r="U4" s="20">
        <v>1536653</v>
      </c>
      <c r="V4" s="345">
        <v>183398</v>
      </c>
      <c r="W4" s="135">
        <f>V4/U4</f>
        <v>0.11934900071779381</v>
      </c>
    </row>
    <row r="5" spans="1:220" customFormat="1">
      <c r="A5" s="10">
        <v>2020</v>
      </c>
      <c r="B5" s="17">
        <v>9</v>
      </c>
      <c r="C5" s="17">
        <v>4.25</v>
      </c>
      <c r="D5" s="23">
        <f>SUM(B5:C5)</f>
        <v>13.25</v>
      </c>
      <c r="E5" s="82">
        <f>ROUND((O5/B5), 0)</f>
        <v>20</v>
      </c>
      <c r="F5" s="82">
        <f>ROUND((O5/D5), 0)</f>
        <v>14</v>
      </c>
      <c r="G5" s="17">
        <v>9</v>
      </c>
      <c r="H5" s="17">
        <v>4.25</v>
      </c>
      <c r="I5" s="17">
        <v>45</v>
      </c>
      <c r="J5" s="17">
        <v>273</v>
      </c>
      <c r="K5" s="23">
        <f t="shared" ref="K5" si="10">SUM(I5:J5)</f>
        <v>318</v>
      </c>
      <c r="L5" s="17">
        <v>129.4</v>
      </c>
      <c r="M5" s="82">
        <f>(I5+L5)</f>
        <v>174.4</v>
      </c>
      <c r="N5" s="17">
        <v>16</v>
      </c>
      <c r="O5" s="17">
        <v>183.75</v>
      </c>
      <c r="P5" s="133">
        <f>M5/O5</f>
        <v>0.94911564625850342</v>
      </c>
      <c r="Q5" s="17">
        <v>62</v>
      </c>
      <c r="R5" s="17">
        <v>0</v>
      </c>
      <c r="S5" s="20">
        <v>1699917.41</v>
      </c>
      <c r="T5" s="24">
        <f>SUM(U5:V5)</f>
        <v>1443423.42</v>
      </c>
      <c r="U5" s="20">
        <v>1344448</v>
      </c>
      <c r="V5" s="345">
        <v>98975.42</v>
      </c>
      <c r="W5" s="135">
        <f>V5/U5</f>
        <v>7.3617886299804827E-2</v>
      </c>
    </row>
    <row r="6" spans="1:220" customFormat="1">
      <c r="A6" s="10">
        <v>2019</v>
      </c>
      <c r="B6" s="17">
        <v>9</v>
      </c>
      <c r="C6" s="17">
        <v>1.5</v>
      </c>
      <c r="D6" s="23">
        <f>SUM(B6:C6)</f>
        <v>10.5</v>
      </c>
      <c r="E6" s="82">
        <f>ROUND((O6/B6), 0)</f>
        <v>16</v>
      </c>
      <c r="F6" s="82">
        <f>ROUND((O6/D6), 0)</f>
        <v>14</v>
      </c>
      <c r="G6" s="17">
        <v>9</v>
      </c>
      <c r="H6" s="17">
        <v>1.5</v>
      </c>
      <c r="I6" s="17">
        <v>33</v>
      </c>
      <c r="J6" s="17">
        <v>215</v>
      </c>
      <c r="K6" s="23">
        <f t="shared" ref="K6" si="11">SUM(I6:J6)</f>
        <v>248</v>
      </c>
      <c r="L6" s="17">
        <v>104.75</v>
      </c>
      <c r="M6" s="82">
        <f>(I6+L6)</f>
        <v>137.75</v>
      </c>
      <c r="N6" s="17">
        <v>18</v>
      </c>
      <c r="O6" s="17">
        <v>146</v>
      </c>
      <c r="P6" s="133">
        <f>M6/O6</f>
        <v>0.94349315068493156</v>
      </c>
      <c r="Q6" s="17">
        <v>79</v>
      </c>
      <c r="R6" s="17">
        <v>0</v>
      </c>
      <c r="S6" s="20">
        <v>1493050</v>
      </c>
      <c r="T6" s="24">
        <f>SUM(U6:V6)</f>
        <v>1493250</v>
      </c>
      <c r="U6" s="20">
        <v>1375984</v>
      </c>
      <c r="V6" s="20">
        <v>117266</v>
      </c>
      <c r="W6" s="135">
        <f>V6/U6</f>
        <v>8.5223374690403378E-2</v>
      </c>
    </row>
    <row r="7" spans="1:220" s="14" customFormat="1">
      <c r="A7" s="10">
        <v>2018</v>
      </c>
      <c r="B7" s="17">
        <v>9</v>
      </c>
      <c r="C7" s="17">
        <v>1.5</v>
      </c>
      <c r="D7" s="23">
        <f>SUM(B7:C7)</f>
        <v>10.5</v>
      </c>
      <c r="E7" s="82">
        <f>ROUND((O7/B7), 0)</f>
        <v>14</v>
      </c>
      <c r="F7" s="82">
        <f>ROUND((O7/D7), 0)</f>
        <v>12</v>
      </c>
      <c r="G7" s="17">
        <v>9</v>
      </c>
      <c r="H7" s="17">
        <v>1.5</v>
      </c>
      <c r="I7" s="17">
        <v>33</v>
      </c>
      <c r="J7" s="17">
        <v>174</v>
      </c>
      <c r="K7" s="23">
        <f t="shared" ref="K7" si="12">SUM(I7:J7)</f>
        <v>207</v>
      </c>
      <c r="L7" s="17">
        <v>86.25</v>
      </c>
      <c r="M7" s="82">
        <f>(I7+L7)</f>
        <v>119.25</v>
      </c>
      <c r="N7" s="17">
        <v>15</v>
      </c>
      <c r="O7" s="17">
        <v>126.5</v>
      </c>
      <c r="P7" s="133">
        <f>M7/O7</f>
        <v>0.94268774703557312</v>
      </c>
      <c r="Q7" s="17">
        <v>70</v>
      </c>
      <c r="R7" s="17">
        <v>2</v>
      </c>
      <c r="S7" s="20">
        <v>1418955</v>
      </c>
      <c r="T7" s="24">
        <f>SUM(U7:V7)</f>
        <v>1421724</v>
      </c>
      <c r="U7" s="20">
        <v>1311478</v>
      </c>
      <c r="V7" s="20">
        <v>110246</v>
      </c>
      <c r="W7" s="135">
        <f>V7/T7</f>
        <v>7.7543883341633119E-2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14" customFormat="1">
      <c r="A8" s="10">
        <v>2017</v>
      </c>
      <c r="B8" s="17">
        <v>10</v>
      </c>
      <c r="C8" s="17">
        <v>2.25</v>
      </c>
      <c r="D8" s="65">
        <f>SUM(B8:C8)</f>
        <v>12.25</v>
      </c>
      <c r="E8" s="13">
        <f>ROUND((O8/B8), 0)</f>
        <v>13</v>
      </c>
      <c r="F8" s="13">
        <f>ROUND((O8/D8), 0)</f>
        <v>10</v>
      </c>
      <c r="G8" s="17">
        <v>10</v>
      </c>
      <c r="H8" s="17">
        <v>2.25</v>
      </c>
      <c r="I8" s="17">
        <v>42</v>
      </c>
      <c r="J8" s="17">
        <v>161</v>
      </c>
      <c r="K8" s="65">
        <f>I8+J8</f>
        <v>203</v>
      </c>
      <c r="L8" s="17">
        <v>83</v>
      </c>
      <c r="M8" s="124">
        <f>I8+L8</f>
        <v>125</v>
      </c>
      <c r="N8" s="17">
        <v>14</v>
      </c>
      <c r="O8" s="17">
        <v>128.25</v>
      </c>
      <c r="P8" s="133">
        <f t="shared" ref="P8:P23" si="13">M8/O8</f>
        <v>0.97465886939571145</v>
      </c>
      <c r="Q8" s="17">
        <v>62</v>
      </c>
      <c r="R8" s="17">
        <v>1</v>
      </c>
      <c r="S8" s="18">
        <v>1987450.93</v>
      </c>
      <c r="T8" s="68">
        <f>SUM(U8:V8)</f>
        <v>2042819.74</v>
      </c>
      <c r="U8" s="18">
        <v>1933821.74</v>
      </c>
      <c r="V8" s="18">
        <v>108998</v>
      </c>
      <c r="W8" s="135">
        <f t="shared" ref="W8:W23" si="14">V8/T8</f>
        <v>5.3356641247259536E-2</v>
      </c>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row>
    <row r="9" spans="1:220" s="14" customFormat="1">
      <c r="A9" s="10">
        <v>2016</v>
      </c>
      <c r="B9" s="54">
        <v>11</v>
      </c>
      <c r="C9" s="54">
        <v>1.25</v>
      </c>
      <c r="D9" s="65">
        <f>SUM(B9:C9)</f>
        <v>12.25</v>
      </c>
      <c r="E9" s="13">
        <f>ROUND((O9/B9), 0)</f>
        <v>11</v>
      </c>
      <c r="F9" s="13">
        <f>ROUND((O9/D9), 0)</f>
        <v>9</v>
      </c>
      <c r="G9" s="54">
        <v>11</v>
      </c>
      <c r="H9" s="54">
        <v>1.25</v>
      </c>
      <c r="I9" s="54">
        <v>30</v>
      </c>
      <c r="J9" s="54">
        <v>142</v>
      </c>
      <c r="K9" s="65">
        <f>I9+J9</f>
        <v>172</v>
      </c>
      <c r="L9" s="54">
        <v>70.25</v>
      </c>
      <c r="M9" s="124">
        <f>I9+L9</f>
        <v>100.25</v>
      </c>
      <c r="N9" s="54">
        <v>14</v>
      </c>
      <c r="O9" s="54">
        <v>115.75</v>
      </c>
      <c r="P9" s="133">
        <f t="shared" si="13"/>
        <v>0.86609071274298055</v>
      </c>
      <c r="Q9" s="54">
        <v>81</v>
      </c>
      <c r="R9" s="54">
        <v>0</v>
      </c>
      <c r="S9" s="58">
        <v>1997651</v>
      </c>
      <c r="T9" s="68">
        <f>SUM(U9:V9)</f>
        <v>2017833</v>
      </c>
      <c r="U9" s="58">
        <v>1924570</v>
      </c>
      <c r="V9" s="58">
        <v>93263</v>
      </c>
      <c r="W9" s="135">
        <f t="shared" si="14"/>
        <v>4.6219384854940919E-2</v>
      </c>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row>
    <row r="10" spans="1:220" s="16" customFormat="1">
      <c r="A10" s="15">
        <v>2015</v>
      </c>
      <c r="B10" s="70">
        <v>11</v>
      </c>
      <c r="C10" s="70">
        <v>4</v>
      </c>
      <c r="D10" s="65">
        <v>15</v>
      </c>
      <c r="E10" s="65">
        <v>13.4</v>
      </c>
      <c r="F10" s="65">
        <v>9.8000000000000007</v>
      </c>
      <c r="G10" s="83"/>
      <c r="H10" s="83"/>
      <c r="I10" s="70">
        <v>42</v>
      </c>
      <c r="J10" s="70">
        <v>159</v>
      </c>
      <c r="K10" s="65">
        <v>201</v>
      </c>
      <c r="L10" s="70">
        <v>105</v>
      </c>
      <c r="M10" s="65">
        <v>146.75</v>
      </c>
      <c r="N10" s="70">
        <v>25</v>
      </c>
      <c r="O10" s="70">
        <v>147</v>
      </c>
      <c r="P10" s="133">
        <f t="shared" si="13"/>
        <v>0.99829931972789121</v>
      </c>
      <c r="Q10" s="70">
        <v>68</v>
      </c>
      <c r="R10" s="70">
        <v>2</v>
      </c>
      <c r="S10" s="78">
        <v>2054533</v>
      </c>
      <c r="T10" s="79">
        <v>1318741</v>
      </c>
      <c r="U10" s="78">
        <v>1169651</v>
      </c>
      <c r="V10" s="78">
        <v>149090</v>
      </c>
      <c r="W10" s="135">
        <f t="shared" si="14"/>
        <v>0.11305479999484357</v>
      </c>
    </row>
    <row r="11" spans="1:220" s="16" customFormat="1">
      <c r="A11" s="15">
        <v>2014</v>
      </c>
      <c r="B11" s="70">
        <v>11</v>
      </c>
      <c r="C11" s="70">
        <v>4</v>
      </c>
      <c r="D11" s="65">
        <f t="shared" ref="D11:D23" si="15">SUM(B11:C11)</f>
        <v>15</v>
      </c>
      <c r="E11" s="13">
        <f t="shared" ref="E11:E23" si="16">ROUND((O11/B11), 0)</f>
        <v>16</v>
      </c>
      <c r="F11" s="13">
        <f t="shared" ref="F11:F23" si="17">ROUND((O11/D11), 0)</f>
        <v>12</v>
      </c>
      <c r="G11" s="83"/>
      <c r="H11" s="83"/>
      <c r="I11" s="70">
        <v>103</v>
      </c>
      <c r="J11" s="70">
        <v>110</v>
      </c>
      <c r="K11" s="65">
        <f>I11+J11</f>
        <v>213</v>
      </c>
      <c r="L11" s="70">
        <v>73.7</v>
      </c>
      <c r="M11" s="124">
        <f>I11+L11</f>
        <v>176.7</v>
      </c>
      <c r="N11" s="70">
        <v>16</v>
      </c>
      <c r="O11" s="70">
        <v>180</v>
      </c>
      <c r="P11" s="133">
        <f t="shared" si="13"/>
        <v>0.98166666666666658</v>
      </c>
      <c r="Q11" s="70">
        <v>87</v>
      </c>
      <c r="R11" s="70">
        <v>1</v>
      </c>
      <c r="S11" s="71">
        <v>1823705</v>
      </c>
      <c r="T11" s="68">
        <f t="shared" ref="T11:T23" si="18">SUM(U11:V11)</f>
        <v>1823705</v>
      </c>
      <c r="U11" s="71">
        <v>1643371</v>
      </c>
      <c r="V11" s="71">
        <v>180334</v>
      </c>
      <c r="W11" s="135">
        <f t="shared" si="14"/>
        <v>9.888331720316608E-2</v>
      </c>
    </row>
    <row r="12" spans="1:220" s="16" customFormat="1">
      <c r="A12" s="10" t="s">
        <v>34</v>
      </c>
      <c r="B12" s="70">
        <v>11</v>
      </c>
      <c r="C12" s="70">
        <v>5</v>
      </c>
      <c r="D12" s="65">
        <f t="shared" si="15"/>
        <v>16</v>
      </c>
      <c r="E12" s="13">
        <f t="shared" si="16"/>
        <v>14</v>
      </c>
      <c r="F12" s="13">
        <f t="shared" si="17"/>
        <v>10</v>
      </c>
      <c r="G12" s="85"/>
      <c r="H12" s="85"/>
      <c r="I12" s="70">
        <v>60</v>
      </c>
      <c r="J12" s="70">
        <v>139</v>
      </c>
      <c r="K12" s="65">
        <f>I12+J12</f>
        <v>199</v>
      </c>
      <c r="L12" s="70">
        <v>93.13</v>
      </c>
      <c r="M12" s="124">
        <v>153.13</v>
      </c>
      <c r="N12" s="70">
        <v>17</v>
      </c>
      <c r="O12" s="70">
        <v>156.81</v>
      </c>
      <c r="P12" s="133">
        <f t="shared" si="13"/>
        <v>0.9765321089216249</v>
      </c>
      <c r="Q12" s="70">
        <v>77</v>
      </c>
      <c r="R12" s="70">
        <v>0</v>
      </c>
      <c r="S12" s="71">
        <v>1906364</v>
      </c>
      <c r="T12" s="68">
        <f t="shared" si="18"/>
        <v>1974234</v>
      </c>
      <c r="U12" s="71">
        <v>968422</v>
      </c>
      <c r="V12" s="71">
        <v>1005812</v>
      </c>
      <c r="W12" s="135">
        <f t="shared" si="14"/>
        <v>0.50946949551066389</v>
      </c>
    </row>
    <row r="13" spans="1:220" s="16" customFormat="1">
      <c r="A13" s="15" t="s">
        <v>25</v>
      </c>
      <c r="B13" s="70">
        <v>11</v>
      </c>
      <c r="C13" s="70">
        <v>6</v>
      </c>
      <c r="D13" s="65">
        <f t="shared" si="15"/>
        <v>17</v>
      </c>
      <c r="E13" s="13">
        <f t="shared" si="16"/>
        <v>20</v>
      </c>
      <c r="F13" s="13">
        <f t="shared" si="17"/>
        <v>13</v>
      </c>
      <c r="G13" s="85"/>
      <c r="H13" s="85"/>
      <c r="I13" s="70">
        <v>108</v>
      </c>
      <c r="J13" s="70">
        <v>150</v>
      </c>
      <c r="K13" s="65">
        <f>I13+J13</f>
        <v>258</v>
      </c>
      <c r="L13" s="70">
        <v>100</v>
      </c>
      <c r="M13" s="124">
        <f>I13+L13</f>
        <v>208</v>
      </c>
      <c r="N13" s="70">
        <v>22</v>
      </c>
      <c r="O13" s="70">
        <v>217.25</v>
      </c>
      <c r="P13" s="133">
        <f t="shared" si="13"/>
        <v>0.95742232451093212</v>
      </c>
      <c r="Q13" s="70">
        <v>134</v>
      </c>
      <c r="R13" s="70">
        <v>0</v>
      </c>
      <c r="S13" s="71">
        <v>2034891</v>
      </c>
      <c r="T13" s="68">
        <f t="shared" si="18"/>
        <v>2034891</v>
      </c>
      <c r="U13" s="71">
        <v>1935466</v>
      </c>
      <c r="V13" s="71">
        <v>99425</v>
      </c>
      <c r="W13" s="135">
        <f t="shared" si="14"/>
        <v>4.8860110934688887E-2</v>
      </c>
    </row>
    <row r="14" spans="1:220" s="16" customFormat="1">
      <c r="A14" s="15" t="s">
        <v>26</v>
      </c>
      <c r="B14" s="70">
        <v>11</v>
      </c>
      <c r="C14" s="70">
        <v>6.25</v>
      </c>
      <c r="D14" s="65">
        <f t="shared" si="15"/>
        <v>17.25</v>
      </c>
      <c r="E14" s="13">
        <f t="shared" si="16"/>
        <v>28</v>
      </c>
      <c r="F14" s="13">
        <f t="shared" si="17"/>
        <v>18</v>
      </c>
      <c r="G14" s="85"/>
      <c r="H14" s="85"/>
      <c r="I14" s="70">
        <v>143</v>
      </c>
      <c r="J14" s="70">
        <v>183</v>
      </c>
      <c r="K14" s="65">
        <f t="shared" ref="K14:K23" si="19">SUM(I14:J14)</f>
        <v>326</v>
      </c>
      <c r="L14" s="70">
        <v>113</v>
      </c>
      <c r="M14" s="124">
        <f t="shared" ref="M14:M23" si="20">(I14+L14)</f>
        <v>256</v>
      </c>
      <c r="N14" s="70">
        <v>37</v>
      </c>
      <c r="O14" s="70">
        <v>309</v>
      </c>
      <c r="P14" s="133">
        <f t="shared" si="13"/>
        <v>0.82847896440129454</v>
      </c>
      <c r="Q14" s="70">
        <v>120</v>
      </c>
      <c r="R14" s="70">
        <v>4</v>
      </c>
      <c r="S14" s="71">
        <v>1878895</v>
      </c>
      <c r="T14" s="68">
        <f t="shared" si="18"/>
        <v>1890877.6</v>
      </c>
      <c r="U14" s="71">
        <v>1769896.06</v>
      </c>
      <c r="V14" s="71">
        <v>120981.54</v>
      </c>
      <c r="W14" s="135">
        <f t="shared" si="14"/>
        <v>6.3981687656567504E-2</v>
      </c>
    </row>
    <row r="15" spans="1:220" customFormat="1">
      <c r="A15" s="15" t="s">
        <v>27</v>
      </c>
      <c r="B15" s="528">
        <v>10</v>
      </c>
      <c r="C15" s="528">
        <v>3</v>
      </c>
      <c r="D15" s="23">
        <f t="shared" si="15"/>
        <v>13</v>
      </c>
      <c r="E15" s="82">
        <f t="shared" si="16"/>
        <v>24</v>
      </c>
      <c r="F15" s="82">
        <f t="shared" si="17"/>
        <v>18</v>
      </c>
      <c r="G15" s="85"/>
      <c r="H15" s="85"/>
      <c r="I15" s="528">
        <v>122</v>
      </c>
      <c r="J15" s="528">
        <v>176</v>
      </c>
      <c r="K15" s="23">
        <f t="shared" si="19"/>
        <v>298</v>
      </c>
      <c r="L15" s="528">
        <v>103</v>
      </c>
      <c r="M15" s="151">
        <f t="shared" si="20"/>
        <v>225</v>
      </c>
      <c r="N15" s="528">
        <v>26</v>
      </c>
      <c r="O15" s="528">
        <v>235.78</v>
      </c>
      <c r="P15" s="133">
        <f t="shared" si="13"/>
        <v>0.95427941301212993</v>
      </c>
      <c r="Q15" s="528">
        <v>115</v>
      </c>
      <c r="R15" s="528">
        <v>1</v>
      </c>
      <c r="S15" s="84">
        <v>1732813.83</v>
      </c>
      <c r="T15" s="24">
        <f t="shared" si="18"/>
        <v>1732814</v>
      </c>
      <c r="U15" s="84">
        <v>1605301</v>
      </c>
      <c r="V15" s="84">
        <v>127513</v>
      </c>
      <c r="W15" s="135">
        <f t="shared" si="14"/>
        <v>7.3587240176960708E-2</v>
      </c>
    </row>
    <row r="16" spans="1:220" customFormat="1">
      <c r="A16" s="15" t="s">
        <v>28</v>
      </c>
      <c r="B16" s="528">
        <v>10</v>
      </c>
      <c r="C16" s="528">
        <v>3.5</v>
      </c>
      <c r="D16" s="23">
        <f t="shared" si="15"/>
        <v>13.5</v>
      </c>
      <c r="E16" s="82">
        <f t="shared" si="16"/>
        <v>21</v>
      </c>
      <c r="F16" s="82">
        <f t="shared" si="17"/>
        <v>16</v>
      </c>
      <c r="G16" s="85"/>
      <c r="H16" s="85"/>
      <c r="I16" s="528">
        <v>153</v>
      </c>
      <c r="J16" s="528">
        <v>100</v>
      </c>
      <c r="K16" s="23">
        <f t="shared" si="19"/>
        <v>253</v>
      </c>
      <c r="L16" s="528">
        <v>52</v>
      </c>
      <c r="M16" s="151">
        <f t="shared" si="20"/>
        <v>205</v>
      </c>
      <c r="N16" s="528">
        <v>22</v>
      </c>
      <c r="O16" s="528">
        <v>210.67</v>
      </c>
      <c r="P16" s="133">
        <f t="shared" si="13"/>
        <v>0.97308586889447957</v>
      </c>
      <c r="Q16" s="528">
        <v>130</v>
      </c>
      <c r="R16" s="528">
        <v>1</v>
      </c>
      <c r="S16" s="84">
        <v>1870830.57</v>
      </c>
      <c r="T16" s="24">
        <f t="shared" si="18"/>
        <v>1870831</v>
      </c>
      <c r="U16" s="84">
        <v>1746556</v>
      </c>
      <c r="V16" s="84">
        <v>124275</v>
      </c>
      <c r="W16" s="135">
        <f t="shared" si="14"/>
        <v>6.6427699776195712E-2</v>
      </c>
    </row>
    <row r="17" spans="1:23" customFormat="1">
      <c r="A17" s="15" t="s">
        <v>29</v>
      </c>
      <c r="B17" s="528">
        <v>10</v>
      </c>
      <c r="C17" s="528">
        <v>3</v>
      </c>
      <c r="D17" s="23">
        <f t="shared" si="15"/>
        <v>13</v>
      </c>
      <c r="E17" s="82">
        <f t="shared" si="16"/>
        <v>21</v>
      </c>
      <c r="F17" s="82">
        <f t="shared" si="17"/>
        <v>16</v>
      </c>
      <c r="G17" s="85"/>
      <c r="H17" s="85"/>
      <c r="I17" s="528">
        <v>151</v>
      </c>
      <c r="J17" s="528">
        <v>98</v>
      </c>
      <c r="K17" s="23">
        <f t="shared" si="19"/>
        <v>249</v>
      </c>
      <c r="L17" s="528">
        <v>52</v>
      </c>
      <c r="M17" s="151">
        <f t="shared" si="20"/>
        <v>203</v>
      </c>
      <c r="N17" s="528">
        <v>16</v>
      </c>
      <c r="O17" s="528">
        <v>205</v>
      </c>
      <c r="P17" s="133">
        <f t="shared" si="13"/>
        <v>0.99024390243902438</v>
      </c>
      <c r="Q17" s="528">
        <v>132</v>
      </c>
      <c r="R17" s="528">
        <v>0</v>
      </c>
      <c r="S17" s="84">
        <v>1771424</v>
      </c>
      <c r="T17" s="24">
        <f t="shared" si="18"/>
        <v>1771424</v>
      </c>
      <c r="U17" s="84">
        <v>1705424</v>
      </c>
      <c r="V17" s="84">
        <v>66000</v>
      </c>
      <c r="W17" s="135">
        <f t="shared" si="14"/>
        <v>3.7258160666221077E-2</v>
      </c>
    </row>
    <row r="18" spans="1:23" customFormat="1">
      <c r="A18" s="15">
        <v>2007</v>
      </c>
      <c r="B18" s="528">
        <v>12</v>
      </c>
      <c r="C18" s="528">
        <v>2.5</v>
      </c>
      <c r="D18" s="23">
        <f t="shared" si="15"/>
        <v>14.5</v>
      </c>
      <c r="E18" s="82">
        <f t="shared" si="16"/>
        <v>17</v>
      </c>
      <c r="F18" s="82">
        <f t="shared" si="17"/>
        <v>14</v>
      </c>
      <c r="G18" s="85"/>
      <c r="H18" s="85"/>
      <c r="I18" s="528">
        <v>128</v>
      </c>
      <c r="J18" s="528">
        <v>133</v>
      </c>
      <c r="K18" s="23">
        <f t="shared" si="19"/>
        <v>261</v>
      </c>
      <c r="L18" s="528">
        <v>73.66</v>
      </c>
      <c r="M18" s="151">
        <f t="shared" si="20"/>
        <v>201.66</v>
      </c>
      <c r="N18" s="528">
        <v>12</v>
      </c>
      <c r="O18" s="528">
        <v>206</v>
      </c>
      <c r="P18" s="133">
        <f t="shared" si="13"/>
        <v>0.97893203883495139</v>
      </c>
      <c r="Q18" s="528">
        <v>142</v>
      </c>
      <c r="R18" s="528">
        <v>0</v>
      </c>
      <c r="S18" s="132">
        <v>1788651</v>
      </c>
      <c r="T18" s="24">
        <f t="shared" si="18"/>
        <v>1788651</v>
      </c>
      <c r="U18" s="132">
        <v>1557103</v>
      </c>
      <c r="V18" s="132">
        <v>231548</v>
      </c>
      <c r="W18" s="135">
        <f t="shared" si="14"/>
        <v>0.12945398515417486</v>
      </c>
    </row>
    <row r="19" spans="1:23" customFormat="1">
      <c r="A19" s="15">
        <v>2006</v>
      </c>
      <c r="B19" s="528">
        <v>12</v>
      </c>
      <c r="C19" s="528">
        <v>2.25</v>
      </c>
      <c r="D19" s="23">
        <f t="shared" si="15"/>
        <v>14.25</v>
      </c>
      <c r="E19" s="82">
        <f t="shared" si="16"/>
        <v>20</v>
      </c>
      <c r="F19" s="82">
        <f t="shared" si="17"/>
        <v>17</v>
      </c>
      <c r="G19" s="85"/>
      <c r="H19" s="85"/>
      <c r="I19" s="528">
        <v>152</v>
      </c>
      <c r="J19" s="528">
        <v>139</v>
      </c>
      <c r="K19" s="23">
        <f t="shared" si="19"/>
        <v>291</v>
      </c>
      <c r="L19" s="528">
        <v>75</v>
      </c>
      <c r="M19" s="151">
        <f t="shared" si="20"/>
        <v>227</v>
      </c>
      <c r="N19" s="528">
        <v>14</v>
      </c>
      <c r="O19" s="528">
        <v>236.1</v>
      </c>
      <c r="P19" s="133">
        <f t="shared" si="13"/>
        <v>0.96145700974163495</v>
      </c>
      <c r="Q19" s="528">
        <v>138</v>
      </c>
      <c r="R19" s="528">
        <v>352</v>
      </c>
      <c r="S19" s="132">
        <v>1632712</v>
      </c>
      <c r="T19" s="24">
        <f t="shared" si="18"/>
        <v>1632712</v>
      </c>
      <c r="U19" s="132">
        <v>1435800</v>
      </c>
      <c r="V19" s="132">
        <v>196912</v>
      </c>
      <c r="W19" s="135">
        <f t="shared" si="14"/>
        <v>0.12060424618671266</v>
      </c>
    </row>
    <row r="20" spans="1:23" customFormat="1">
      <c r="A20" s="15">
        <v>2005</v>
      </c>
      <c r="B20" s="528">
        <v>12</v>
      </c>
      <c r="C20" s="528">
        <v>2</v>
      </c>
      <c r="D20" s="23">
        <f t="shared" si="15"/>
        <v>14</v>
      </c>
      <c r="E20" s="82">
        <f t="shared" si="16"/>
        <v>19</v>
      </c>
      <c r="F20" s="82">
        <f t="shared" si="17"/>
        <v>16</v>
      </c>
      <c r="G20" s="85"/>
      <c r="H20" s="85"/>
      <c r="I20" s="528">
        <v>149</v>
      </c>
      <c r="J20" s="528">
        <v>136</v>
      </c>
      <c r="K20" s="23">
        <f t="shared" si="19"/>
        <v>285</v>
      </c>
      <c r="L20" s="528">
        <v>73</v>
      </c>
      <c r="M20" s="151">
        <f t="shared" si="20"/>
        <v>222</v>
      </c>
      <c r="N20" s="528">
        <v>21</v>
      </c>
      <c r="O20" s="528">
        <v>226</v>
      </c>
      <c r="P20" s="133">
        <f t="shared" si="13"/>
        <v>0.98230088495575218</v>
      </c>
      <c r="Q20" s="528">
        <v>142</v>
      </c>
      <c r="R20" s="528">
        <v>36</v>
      </c>
      <c r="S20" s="132">
        <v>1628658</v>
      </c>
      <c r="T20" s="24">
        <f t="shared" si="18"/>
        <v>1528596</v>
      </c>
      <c r="U20" s="132">
        <v>1223897</v>
      </c>
      <c r="V20" s="132">
        <v>304699</v>
      </c>
      <c r="W20" s="135">
        <f t="shared" si="14"/>
        <v>0.19933259016770946</v>
      </c>
    </row>
    <row r="21" spans="1:23" customFormat="1">
      <c r="A21" s="15">
        <v>2004</v>
      </c>
      <c r="B21" s="528">
        <v>12</v>
      </c>
      <c r="C21" s="528">
        <v>2</v>
      </c>
      <c r="D21" s="23">
        <f t="shared" si="15"/>
        <v>14</v>
      </c>
      <c r="E21" s="82">
        <f t="shared" si="16"/>
        <v>19</v>
      </c>
      <c r="F21" s="82">
        <f t="shared" si="17"/>
        <v>16</v>
      </c>
      <c r="G21" s="85"/>
      <c r="H21" s="85"/>
      <c r="I21" s="528">
        <v>145</v>
      </c>
      <c r="J21" s="528">
        <v>137</v>
      </c>
      <c r="K21" s="23">
        <f t="shared" si="19"/>
        <v>282</v>
      </c>
      <c r="L21" s="528">
        <v>73</v>
      </c>
      <c r="M21" s="151">
        <f t="shared" si="20"/>
        <v>218</v>
      </c>
      <c r="N21" s="528">
        <v>18</v>
      </c>
      <c r="O21" s="528">
        <v>230</v>
      </c>
      <c r="P21" s="133">
        <f t="shared" si="13"/>
        <v>0.94782608695652171</v>
      </c>
      <c r="Q21" s="528">
        <v>152</v>
      </c>
      <c r="R21" s="528">
        <v>0</v>
      </c>
      <c r="S21" s="132">
        <v>1220301</v>
      </c>
      <c r="T21" s="24">
        <f t="shared" si="18"/>
        <v>1286750</v>
      </c>
      <c r="U21" s="132">
        <v>1275250</v>
      </c>
      <c r="V21" s="132">
        <v>11500</v>
      </c>
      <c r="W21" s="135">
        <f t="shared" si="14"/>
        <v>8.9372449970856818E-3</v>
      </c>
    </row>
    <row r="22" spans="1:23" customFormat="1">
      <c r="A22" s="15">
        <v>2003</v>
      </c>
      <c r="B22" s="528">
        <v>11</v>
      </c>
      <c r="C22" s="528">
        <v>2</v>
      </c>
      <c r="D22" s="23">
        <f t="shared" si="15"/>
        <v>13</v>
      </c>
      <c r="E22" s="82">
        <f t="shared" si="16"/>
        <v>20</v>
      </c>
      <c r="F22" s="82">
        <f t="shared" si="17"/>
        <v>17</v>
      </c>
      <c r="G22" s="85"/>
      <c r="H22" s="85"/>
      <c r="I22" s="528">
        <v>142</v>
      </c>
      <c r="J22" s="528">
        <v>139</v>
      </c>
      <c r="K22" s="23">
        <f t="shared" si="19"/>
        <v>281</v>
      </c>
      <c r="L22" s="528">
        <v>64</v>
      </c>
      <c r="M22" s="151">
        <f t="shared" si="20"/>
        <v>206</v>
      </c>
      <c r="N22" s="528">
        <v>15</v>
      </c>
      <c r="O22" s="528">
        <v>215</v>
      </c>
      <c r="P22" s="133">
        <f t="shared" si="13"/>
        <v>0.95813953488372094</v>
      </c>
      <c r="Q22" s="528">
        <v>135</v>
      </c>
      <c r="R22" s="528">
        <v>1</v>
      </c>
      <c r="S22" s="132">
        <v>1204199</v>
      </c>
      <c r="T22" s="24">
        <f t="shared" si="18"/>
        <v>1267720</v>
      </c>
      <c r="U22" s="132">
        <v>1194170</v>
      </c>
      <c r="V22" s="132">
        <v>73550</v>
      </c>
      <c r="W22" s="135">
        <f t="shared" si="14"/>
        <v>5.8017543306092829E-2</v>
      </c>
    </row>
    <row r="23" spans="1:23" customFormat="1">
      <c r="A23" s="15">
        <v>2002</v>
      </c>
      <c r="B23" s="528">
        <v>9</v>
      </c>
      <c r="C23" s="528">
        <v>2</v>
      </c>
      <c r="D23" s="23">
        <f t="shared" si="15"/>
        <v>11</v>
      </c>
      <c r="E23" s="82">
        <f t="shared" si="16"/>
        <v>25</v>
      </c>
      <c r="F23" s="82">
        <f t="shared" si="17"/>
        <v>20</v>
      </c>
      <c r="G23" s="85"/>
      <c r="H23" s="85"/>
      <c r="I23" s="528">
        <v>129</v>
      </c>
      <c r="J23" s="528">
        <v>166</v>
      </c>
      <c r="K23" s="23">
        <f t="shared" si="19"/>
        <v>295</v>
      </c>
      <c r="L23" s="528">
        <v>86</v>
      </c>
      <c r="M23" s="151">
        <f t="shared" si="20"/>
        <v>215</v>
      </c>
      <c r="N23" s="528">
        <v>14</v>
      </c>
      <c r="O23" s="528">
        <v>223</v>
      </c>
      <c r="P23" s="133">
        <f t="shared" si="13"/>
        <v>0.9641255605381166</v>
      </c>
      <c r="Q23" s="528">
        <v>109</v>
      </c>
      <c r="R23" s="528">
        <v>0</v>
      </c>
      <c r="S23" s="132">
        <v>1313256</v>
      </c>
      <c r="T23" s="24">
        <f t="shared" si="18"/>
        <v>1338554</v>
      </c>
      <c r="U23" s="132">
        <v>1221168</v>
      </c>
      <c r="V23" s="132">
        <v>117386</v>
      </c>
      <c r="W23" s="135">
        <f t="shared" si="14"/>
        <v>8.769612581935432E-2</v>
      </c>
    </row>
    <row r="24" spans="1:23" customFormat="1">
      <c r="A24" s="538" t="s">
        <v>52</v>
      </c>
      <c r="B24" s="538"/>
      <c r="C24" s="538"/>
      <c r="D24" s="538"/>
      <c r="E24" s="538"/>
      <c r="F24" s="538"/>
      <c r="G24" s="538"/>
      <c r="H24" s="538"/>
      <c r="I24" s="538"/>
      <c r="J24" s="538"/>
      <c r="K24" s="538"/>
      <c r="L24" s="538"/>
      <c r="M24" s="538"/>
      <c r="N24" s="538"/>
      <c r="O24" s="538"/>
      <c r="P24" s="538"/>
      <c r="Q24" s="538"/>
      <c r="R24" s="538"/>
      <c r="S24" s="538"/>
      <c r="T24" s="538"/>
      <c r="U24" s="538"/>
      <c r="V24" s="538"/>
      <c r="W24" s="538"/>
    </row>
    <row r="25" spans="1:23" s="62" customFormat="1" ht="30.6" customHeight="1">
      <c r="A25" s="539" t="s">
        <v>53</v>
      </c>
      <c r="B25" s="538"/>
      <c r="C25" s="538"/>
      <c r="D25" s="538"/>
      <c r="E25" s="538"/>
      <c r="F25" s="538"/>
      <c r="G25" s="538"/>
      <c r="H25" s="538"/>
      <c r="I25" s="538"/>
      <c r="J25" s="538"/>
      <c r="K25" s="538"/>
      <c r="L25" s="538"/>
      <c r="M25" s="538"/>
      <c r="N25" s="538"/>
      <c r="O25" s="538"/>
      <c r="P25" s="538"/>
      <c r="Q25" s="538"/>
      <c r="R25" s="538"/>
      <c r="S25" s="538"/>
      <c r="T25" s="538"/>
      <c r="U25" s="538"/>
      <c r="V25" s="538"/>
      <c r="W25" s="538"/>
    </row>
    <row r="26" spans="1:23" s="62" customFormat="1"/>
    <row r="27" spans="1:23" s="62" customFormat="1"/>
    <row r="28" spans="1:23" s="62" customFormat="1"/>
    <row r="29" spans="1:23" s="62" customFormat="1"/>
    <row r="30" spans="1:23" s="62" customFormat="1"/>
    <row r="31" spans="1:23" s="62" customFormat="1"/>
    <row r="32" spans="1:23" s="62" customFormat="1"/>
    <row r="33" s="62" customFormat="1"/>
    <row r="34" s="62" customFormat="1"/>
  </sheetData>
  <mergeCells count="2">
    <mergeCell ref="A24:W24"/>
    <mergeCell ref="A25:W25"/>
  </mergeCells>
  <printOptions headings="1" gridLines="1"/>
  <pageMargins left="0.5" right="0.5" top="0.5" bottom="0.5" header="0" footer="0"/>
  <pageSetup paperSize="5" scale="67" orientation="landscape" horizontalDpi="1200" verticalDpi="1200"/>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L35"/>
  <sheetViews>
    <sheetView workbookViewId="0">
      <selection activeCell="G4" sqref="G4"/>
    </sheetView>
  </sheetViews>
  <sheetFormatPr defaultColWidth="8.85546875" defaultRowHeight="15"/>
  <cols>
    <col min="1" max="2" width="8.42578125" style="63" customWidth="1"/>
    <col min="3" max="3" width="8.42578125" style="63" bestFit="1" customWidth="1"/>
    <col min="4" max="4" width="9.28515625" style="63" bestFit="1" customWidth="1"/>
    <col min="5" max="5" width="12.28515625" style="63" bestFit="1" customWidth="1"/>
    <col min="6" max="6" width="11.42578125" style="63" bestFit="1" customWidth="1"/>
    <col min="7" max="8" width="12.140625" style="63" customWidth="1"/>
    <col min="9" max="9" width="8.85546875" style="63" bestFit="1" customWidth="1"/>
    <col min="10" max="11" width="11.85546875" style="63" bestFit="1" customWidth="1"/>
    <col min="12" max="12" width="12.28515625" style="63" bestFit="1" customWidth="1"/>
    <col min="13" max="13" width="13.140625" style="63" bestFit="1" customWidth="1"/>
    <col min="14" max="14" width="11.140625" style="63" customWidth="1"/>
    <col min="15" max="15" width="13.42578125" style="63" bestFit="1" customWidth="1"/>
    <col min="16" max="16" width="14.28515625" style="63" customWidth="1"/>
    <col min="17" max="17" width="12.42578125" style="63" bestFit="1" customWidth="1"/>
    <col min="18" max="18" width="9" style="63" bestFit="1" customWidth="1"/>
    <col min="19" max="19" width="11.85546875" style="63" bestFit="1" customWidth="1"/>
    <col min="20" max="20" width="11.85546875" style="63" customWidth="1"/>
    <col min="21" max="21" width="10.7109375" style="63" bestFit="1" customWidth="1"/>
    <col min="22" max="22" width="10.85546875" style="63" bestFit="1" customWidth="1"/>
    <col min="23" max="23" width="14.28515625" style="63" customWidth="1"/>
    <col min="24" max="16384" width="8.85546875" style="63"/>
  </cols>
  <sheetData>
    <row r="1" spans="1:220" s="1" customFormat="1" ht="18.75">
      <c r="A1" s="1" t="s">
        <v>54</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row>
    <row r="2" spans="1:220" s="6"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row>
    <row r="3" spans="1:220" s="6" customFormat="1">
      <c r="A3" s="105">
        <v>2022</v>
      </c>
      <c r="B3" s="66">
        <v>13</v>
      </c>
      <c r="C3" s="66">
        <v>1</v>
      </c>
      <c r="D3" s="23">
        <f t="shared" ref="D3" si="0">SUM(B3:C3)</f>
        <v>14</v>
      </c>
      <c r="E3" s="82">
        <f t="shared" ref="E3" si="1">ROUND((O3/B3), 0)</f>
        <v>15</v>
      </c>
      <c r="F3" s="82">
        <f t="shared" ref="F3" si="2">ROUND((O3/D3), 0)</f>
        <v>14</v>
      </c>
      <c r="G3" s="66">
        <v>13</v>
      </c>
      <c r="H3" s="66">
        <v>1</v>
      </c>
      <c r="I3" s="66">
        <v>165</v>
      </c>
      <c r="J3" s="66">
        <v>0</v>
      </c>
      <c r="K3" s="23">
        <f t="shared" ref="K3" si="3">SUM(I3:J3)</f>
        <v>165</v>
      </c>
      <c r="L3" s="17">
        <v>0</v>
      </c>
      <c r="M3" s="82">
        <f t="shared" ref="M3" si="4">(I3+L3)</f>
        <v>165</v>
      </c>
      <c r="N3" s="131">
        <v>73</v>
      </c>
      <c r="O3" s="131">
        <v>199</v>
      </c>
      <c r="P3" s="133">
        <f t="shared" ref="P3" si="5">M3/O3</f>
        <v>0.82914572864321612</v>
      </c>
      <c r="Q3" s="17">
        <v>57</v>
      </c>
      <c r="R3" s="17">
        <v>4</v>
      </c>
      <c r="S3" s="347">
        <v>4945810</v>
      </c>
      <c r="T3" s="24">
        <f t="shared" ref="T3" si="6">SUM(U3:V3)</f>
        <v>7458945</v>
      </c>
      <c r="U3" s="348">
        <v>4059353</v>
      </c>
      <c r="V3" s="349">
        <v>3399592</v>
      </c>
      <c r="W3" s="135">
        <f t="shared" ref="W3" si="7">V3/T3</f>
        <v>0.45577383932982479</v>
      </c>
      <c r="X3" s="362"/>
      <c r="Y3" s="363"/>
      <c r="Z3" s="362"/>
      <c r="AA3" s="362"/>
      <c r="AB3" s="364"/>
      <c r="AC3" s="187"/>
      <c r="AD3" s="364"/>
      <c r="AE3" s="364"/>
      <c r="AF3" s="365"/>
    </row>
    <row r="4" spans="1:220" s="6" customFormat="1">
      <c r="A4" s="105">
        <v>2021</v>
      </c>
      <c r="B4" s="66">
        <v>10</v>
      </c>
      <c r="C4" s="66">
        <v>2</v>
      </c>
      <c r="D4" s="23">
        <f t="shared" ref="D4" si="8">SUM(B4:C4)</f>
        <v>12</v>
      </c>
      <c r="E4" s="82">
        <f t="shared" ref="E4" si="9">ROUND((O4/B4), 0)</f>
        <v>18</v>
      </c>
      <c r="F4" s="82">
        <f t="shared" ref="F4" si="10">ROUND((O4/D4), 0)</f>
        <v>15</v>
      </c>
      <c r="G4" s="66">
        <v>10</v>
      </c>
      <c r="H4" s="66">
        <v>2</v>
      </c>
      <c r="I4" s="66">
        <v>150</v>
      </c>
      <c r="J4" s="66">
        <v>0</v>
      </c>
      <c r="K4" s="23">
        <f t="shared" ref="K4" si="11">SUM(I4:J4)</f>
        <v>150</v>
      </c>
      <c r="L4" s="17">
        <v>0</v>
      </c>
      <c r="M4" s="82">
        <f t="shared" ref="M4" si="12">(I4+L4)</f>
        <v>150</v>
      </c>
      <c r="N4" s="131">
        <v>65</v>
      </c>
      <c r="O4" s="131">
        <v>180</v>
      </c>
      <c r="P4" s="133">
        <f t="shared" ref="P4" si="13">M4/O4</f>
        <v>0.83333333333333337</v>
      </c>
      <c r="Q4" s="17">
        <v>51</v>
      </c>
      <c r="R4" s="17">
        <v>1</v>
      </c>
      <c r="S4" s="347">
        <v>5628584</v>
      </c>
      <c r="T4" s="24">
        <f t="shared" ref="T4" si="14">SUM(U4:V4)</f>
        <v>8351027</v>
      </c>
      <c r="U4" s="348">
        <v>4819844</v>
      </c>
      <c r="V4" s="349">
        <v>3531183</v>
      </c>
      <c r="W4" s="135">
        <f t="shared" ref="W4" si="15">V4/T4</f>
        <v>0.42284416036494671</v>
      </c>
      <c r="X4" s="362"/>
      <c r="Y4" s="363"/>
      <c r="Z4" s="362"/>
      <c r="AA4" s="362"/>
      <c r="AB4" s="364"/>
      <c r="AC4" s="187"/>
      <c r="AD4" s="364"/>
      <c r="AE4" s="364"/>
      <c r="AF4" s="365"/>
    </row>
    <row r="5" spans="1:220" s="6" customFormat="1">
      <c r="A5" s="105">
        <v>2020</v>
      </c>
      <c r="B5" s="66">
        <v>12</v>
      </c>
      <c r="C5" s="66">
        <v>2</v>
      </c>
      <c r="D5" s="23">
        <f>SUM(B5:C5)</f>
        <v>14</v>
      </c>
      <c r="E5" s="82">
        <f>ROUND((O5/B5), 0)</f>
        <v>11</v>
      </c>
      <c r="F5" s="82">
        <f>ROUND((O5/D5), 0)</f>
        <v>10</v>
      </c>
      <c r="G5" s="66">
        <v>12</v>
      </c>
      <c r="H5" s="66">
        <v>2</v>
      </c>
      <c r="I5" s="66">
        <v>108</v>
      </c>
      <c r="J5" s="66">
        <v>0</v>
      </c>
      <c r="K5" s="23">
        <f t="shared" ref="K5" si="16">SUM(I5:J5)</f>
        <v>108</v>
      </c>
      <c r="L5" s="17">
        <v>0</v>
      </c>
      <c r="M5" s="82">
        <f>(I5+L5)</f>
        <v>108</v>
      </c>
      <c r="N5" s="131">
        <v>48</v>
      </c>
      <c r="O5" s="131">
        <v>133</v>
      </c>
      <c r="P5" s="133">
        <f t="shared" ref="P5" si="17">M5/O5</f>
        <v>0.81203007518796988</v>
      </c>
      <c r="Q5" s="17">
        <v>53</v>
      </c>
      <c r="R5" s="17">
        <v>2</v>
      </c>
      <c r="S5" s="347">
        <v>4774290</v>
      </c>
      <c r="T5" s="24">
        <f>SUM(U5:V5)</f>
        <v>8090602</v>
      </c>
      <c r="U5" s="348">
        <v>4635328</v>
      </c>
      <c r="V5" s="349">
        <v>3455274</v>
      </c>
      <c r="W5" s="135">
        <f t="shared" ref="W5" si="18">V5/T5</f>
        <v>0.4270725466411523</v>
      </c>
      <c r="X5" s="362"/>
      <c r="Y5" s="363"/>
      <c r="Z5" s="362"/>
      <c r="AA5" s="362"/>
      <c r="AB5" s="364"/>
      <c r="AC5" s="187"/>
      <c r="AD5" s="364"/>
      <c r="AE5" s="364"/>
      <c r="AF5" s="365"/>
    </row>
    <row r="6" spans="1:220" s="6" customFormat="1">
      <c r="A6" s="105">
        <v>2019</v>
      </c>
      <c r="B6" s="66">
        <v>13</v>
      </c>
      <c r="C6" s="66">
        <v>1</v>
      </c>
      <c r="D6" s="23">
        <f>SUM(B6:C6)</f>
        <v>14</v>
      </c>
      <c r="E6" s="82">
        <f>ROUND((O6/B6), 0)</f>
        <v>10</v>
      </c>
      <c r="F6" s="82">
        <f>ROUND((O6/D6), 0)</f>
        <v>10</v>
      </c>
      <c r="G6" s="66">
        <v>13</v>
      </c>
      <c r="H6" s="66">
        <v>1</v>
      </c>
      <c r="I6" s="66">
        <v>111</v>
      </c>
      <c r="J6" s="66">
        <v>0</v>
      </c>
      <c r="K6" s="23">
        <f>SUM(I6:J6)</f>
        <v>111</v>
      </c>
      <c r="L6" s="17">
        <v>0</v>
      </c>
      <c r="M6" s="82">
        <f>(I6+L6)</f>
        <v>111</v>
      </c>
      <c r="N6" s="131">
        <v>41</v>
      </c>
      <c r="O6" s="131">
        <v>135</v>
      </c>
      <c r="P6" s="133">
        <f>M6/O6</f>
        <v>0.82222222222222219</v>
      </c>
      <c r="Q6" s="17">
        <v>52</v>
      </c>
      <c r="R6" s="17">
        <v>6</v>
      </c>
      <c r="S6" s="347">
        <v>4681045</v>
      </c>
      <c r="T6" s="24">
        <f>SUM(U6:V6)</f>
        <v>7812089</v>
      </c>
      <c r="U6" s="348">
        <v>4345514</v>
      </c>
      <c r="V6" s="349">
        <v>3466575</v>
      </c>
      <c r="W6" s="135">
        <f>V6/T6</f>
        <v>0.44374494453404206</v>
      </c>
      <c r="X6" s="17"/>
      <c r="Y6" s="133"/>
      <c r="Z6" s="17"/>
      <c r="AA6" s="17"/>
      <c r="AB6" s="20"/>
      <c r="AC6" s="24"/>
      <c r="AD6" s="20"/>
      <c r="AE6" s="20"/>
      <c r="AF6" s="135"/>
    </row>
    <row r="7" spans="1:220" s="14" customFormat="1">
      <c r="A7" s="10">
        <v>2018</v>
      </c>
      <c r="B7" s="17">
        <v>14</v>
      </c>
      <c r="C7" s="17">
        <v>2</v>
      </c>
      <c r="D7" s="23">
        <f>SUM(B7:C7)</f>
        <v>16</v>
      </c>
      <c r="E7" s="82">
        <f>ROUND((O7/B7), 0)</f>
        <v>11</v>
      </c>
      <c r="F7" s="82">
        <f>ROUND((O7/D7), 0)</f>
        <v>9</v>
      </c>
      <c r="G7" s="17">
        <v>14</v>
      </c>
      <c r="H7" s="17">
        <v>2</v>
      </c>
      <c r="I7" s="17">
        <v>120</v>
      </c>
      <c r="J7" s="17">
        <v>0</v>
      </c>
      <c r="K7" s="23">
        <f t="shared" ref="K7" si="19">SUM(I7:J7)</f>
        <v>120</v>
      </c>
      <c r="L7" s="17">
        <v>0</v>
      </c>
      <c r="M7" s="82">
        <f>(I7+L7)</f>
        <v>120</v>
      </c>
      <c r="N7" s="17">
        <v>54</v>
      </c>
      <c r="O7" s="17">
        <v>151</v>
      </c>
      <c r="P7" s="133">
        <f>M7/O7</f>
        <v>0.79470198675496684</v>
      </c>
      <c r="Q7" s="17">
        <v>45</v>
      </c>
      <c r="R7" s="17">
        <v>4</v>
      </c>
      <c r="S7" s="20">
        <v>4269542</v>
      </c>
      <c r="T7" s="24">
        <f>SUM(U7:V7)</f>
        <v>6588588</v>
      </c>
      <c r="U7" s="20">
        <v>3185688</v>
      </c>
      <c r="V7" s="20">
        <v>3402900</v>
      </c>
      <c r="W7" s="135">
        <f>V7/T7</f>
        <v>0.51648395680531245</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9" customFormat="1">
      <c r="A8" s="10">
        <v>2017</v>
      </c>
      <c r="B8" s="17">
        <v>15</v>
      </c>
      <c r="C8" s="17">
        <v>2</v>
      </c>
      <c r="D8" s="23">
        <f>SUM(B8:C8)</f>
        <v>17</v>
      </c>
      <c r="E8" s="13">
        <f>ROUND((O8/B8), 0)</f>
        <v>9</v>
      </c>
      <c r="F8" s="13">
        <f>ROUND((O8/D8), 0)</f>
        <v>8</v>
      </c>
      <c r="G8" s="253">
        <v>14</v>
      </c>
      <c r="H8" s="253">
        <v>1</v>
      </c>
      <c r="I8" s="17">
        <v>111</v>
      </c>
      <c r="J8" s="17">
        <v>0</v>
      </c>
      <c r="K8" s="23">
        <f>SUM(I8:J8)</f>
        <v>111</v>
      </c>
      <c r="L8" s="17">
        <v>0</v>
      </c>
      <c r="M8" s="13">
        <f>(I8+L8)</f>
        <v>111</v>
      </c>
      <c r="N8" s="17">
        <v>50</v>
      </c>
      <c r="O8" s="17">
        <v>138</v>
      </c>
      <c r="P8" s="133">
        <f t="shared" ref="P8:P23" si="20">M8/O8</f>
        <v>0.80434782608695654</v>
      </c>
      <c r="Q8" s="17">
        <v>60</v>
      </c>
      <c r="R8" s="17">
        <v>6</v>
      </c>
      <c r="S8" s="254">
        <v>4296289</v>
      </c>
      <c r="T8" s="24">
        <f>SUM(U8:V8)</f>
        <v>7062087</v>
      </c>
      <c r="U8" s="254">
        <v>3033606</v>
      </c>
      <c r="V8" s="17">
        <f>466997+276143+2946791+338550</f>
        <v>4028481</v>
      </c>
      <c r="W8" s="135">
        <f t="shared" ref="W8:W23" si="21">V8/T8</f>
        <v>0.57043774736844788</v>
      </c>
    </row>
    <row r="9" spans="1:220" s="9" customFormat="1">
      <c r="A9" s="10">
        <v>2016</v>
      </c>
      <c r="B9" s="54">
        <v>14</v>
      </c>
      <c r="C9" s="54">
        <v>2</v>
      </c>
      <c r="D9" s="23">
        <f>SUM(B9:C9)</f>
        <v>16</v>
      </c>
      <c r="E9" s="13">
        <f>ROUND((O9/B9), 0)</f>
        <v>11</v>
      </c>
      <c r="F9" s="13">
        <f>ROUND((O9/D9), 0)</f>
        <v>9</v>
      </c>
      <c r="G9" s="66">
        <v>14</v>
      </c>
      <c r="H9" s="66">
        <v>0</v>
      </c>
      <c r="I9" s="54">
        <v>116</v>
      </c>
      <c r="J9" s="54">
        <v>0</v>
      </c>
      <c r="K9" s="23">
        <f>SUM(I9:J9)</f>
        <v>116</v>
      </c>
      <c r="L9" s="54">
        <v>0</v>
      </c>
      <c r="M9" s="13">
        <f>(I9+L9)</f>
        <v>116</v>
      </c>
      <c r="N9" s="54">
        <v>48</v>
      </c>
      <c r="O9" s="54">
        <v>147</v>
      </c>
      <c r="P9" s="133">
        <f t="shared" si="20"/>
        <v>0.78911564625850339</v>
      </c>
      <c r="Q9" s="54">
        <v>35</v>
      </c>
      <c r="R9" s="54">
        <v>5</v>
      </c>
      <c r="S9" s="54">
        <f>1887887+250361+13898+143773+809195+7647+4002+3210+468+2399+11777+7760+1158+73+11367+190+157+2052+5780+2562+905+1055+10+196+208772+85235+108+193+2676+1311+75008</f>
        <v>3541185</v>
      </c>
      <c r="T9" s="24">
        <f>SUM(U9:V9)</f>
        <v>9368094</v>
      </c>
      <c r="U9" s="54">
        <v>2793930</v>
      </c>
      <c r="V9" s="54">
        <f>700062+125898+2925063+2823141</f>
        <v>6574164</v>
      </c>
      <c r="W9" s="135">
        <f t="shared" si="21"/>
        <v>0.70176110530060865</v>
      </c>
    </row>
    <row r="10" spans="1:220" s="16" customFormat="1">
      <c r="A10" s="15">
        <v>2015</v>
      </c>
      <c r="B10" s="70">
        <v>12</v>
      </c>
      <c r="C10" s="70">
        <v>2.09</v>
      </c>
      <c r="D10" s="65">
        <v>14.09</v>
      </c>
      <c r="E10" s="65">
        <v>12.3</v>
      </c>
      <c r="F10" s="65">
        <v>10.5</v>
      </c>
      <c r="G10" s="83"/>
      <c r="H10" s="83"/>
      <c r="I10" s="70">
        <v>108</v>
      </c>
      <c r="J10" s="70">
        <v>0</v>
      </c>
      <c r="K10" s="65">
        <v>108</v>
      </c>
      <c r="L10" s="70">
        <v>0</v>
      </c>
      <c r="M10" s="65">
        <v>108</v>
      </c>
      <c r="N10" s="70">
        <v>39</v>
      </c>
      <c r="O10" s="70">
        <v>148</v>
      </c>
      <c r="P10" s="133">
        <f t="shared" si="20"/>
        <v>0.72972972972972971</v>
      </c>
      <c r="Q10" s="70">
        <v>39</v>
      </c>
      <c r="R10" s="70">
        <v>9</v>
      </c>
      <c r="S10" s="78">
        <v>3057420</v>
      </c>
      <c r="T10" s="79">
        <v>5604562</v>
      </c>
      <c r="U10" s="78">
        <v>2678433</v>
      </c>
      <c r="V10" s="78">
        <v>2926129</v>
      </c>
      <c r="W10" s="135">
        <f t="shared" si="21"/>
        <v>0.52209771254203274</v>
      </c>
    </row>
    <row r="11" spans="1:220" s="16" customFormat="1">
      <c r="A11" s="15">
        <v>2014</v>
      </c>
      <c r="B11" s="54">
        <v>12</v>
      </c>
      <c r="C11" s="54">
        <v>1.67</v>
      </c>
      <c r="D11" s="19">
        <v>13.67</v>
      </c>
      <c r="E11" s="109">
        <v>12</v>
      </c>
      <c r="F11" s="109">
        <v>15</v>
      </c>
      <c r="G11" s="83"/>
      <c r="H11" s="83"/>
      <c r="I11" s="54">
        <v>86</v>
      </c>
      <c r="J11" s="54">
        <v>1</v>
      </c>
      <c r="K11" s="19">
        <v>87</v>
      </c>
      <c r="L11" s="54">
        <v>0.67</v>
      </c>
      <c r="M11" s="109">
        <v>87</v>
      </c>
      <c r="N11" s="54">
        <v>35</v>
      </c>
      <c r="O11" s="54">
        <v>142</v>
      </c>
      <c r="P11" s="133">
        <f t="shared" si="20"/>
        <v>0.61267605633802813</v>
      </c>
      <c r="Q11" s="54">
        <v>43</v>
      </c>
      <c r="R11" s="54">
        <v>13</v>
      </c>
      <c r="S11" s="110">
        <v>2910836</v>
      </c>
      <c r="T11" s="111">
        <v>5680589</v>
      </c>
      <c r="U11" s="110">
        <v>2435840</v>
      </c>
      <c r="V11" s="110">
        <v>3244749</v>
      </c>
      <c r="W11" s="135">
        <f t="shared" si="21"/>
        <v>0.57119939499231509</v>
      </c>
    </row>
    <row r="12" spans="1:220" s="108" customFormat="1">
      <c r="A12" s="113" t="s">
        <v>34</v>
      </c>
      <c r="B12" s="527">
        <v>10</v>
      </c>
      <c r="C12" s="527">
        <v>2.5</v>
      </c>
      <c r="D12" s="89">
        <v>12.5</v>
      </c>
      <c r="E12" s="90">
        <v>12</v>
      </c>
      <c r="F12" s="90">
        <v>15</v>
      </c>
      <c r="G12" s="85"/>
      <c r="H12" s="85"/>
      <c r="I12" s="527">
        <v>92</v>
      </c>
      <c r="J12" s="527">
        <v>6</v>
      </c>
      <c r="K12" s="89">
        <v>98</v>
      </c>
      <c r="L12" s="527">
        <v>32</v>
      </c>
      <c r="M12" s="90">
        <v>124</v>
      </c>
      <c r="N12" s="527">
        <v>41</v>
      </c>
      <c r="O12" s="527">
        <v>148</v>
      </c>
      <c r="P12" s="133">
        <f t="shared" si="20"/>
        <v>0.83783783783783783</v>
      </c>
      <c r="Q12" s="527">
        <v>69</v>
      </c>
      <c r="R12" s="527">
        <v>13</v>
      </c>
      <c r="S12" s="112">
        <v>3165103</v>
      </c>
      <c r="T12" s="92">
        <v>3524280</v>
      </c>
      <c r="U12" s="112">
        <v>2350151</v>
      </c>
      <c r="V12" s="112">
        <v>1174129</v>
      </c>
      <c r="W12" s="135">
        <f t="shared" si="21"/>
        <v>0.33315428967051425</v>
      </c>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row>
    <row r="13" spans="1:220" customFormat="1">
      <c r="A13" s="113" t="s">
        <v>25</v>
      </c>
      <c r="B13" s="527">
        <v>11</v>
      </c>
      <c r="C13" s="527">
        <v>2.5</v>
      </c>
      <c r="D13" s="89">
        <v>13.5</v>
      </c>
      <c r="E13" s="90">
        <v>13</v>
      </c>
      <c r="F13" s="90">
        <v>11</v>
      </c>
      <c r="G13" s="85"/>
      <c r="H13" s="85"/>
      <c r="I13" s="527">
        <v>98</v>
      </c>
      <c r="J13" s="527">
        <v>20</v>
      </c>
      <c r="K13" s="89">
        <v>118</v>
      </c>
      <c r="L13" s="527">
        <v>13.4</v>
      </c>
      <c r="M13" s="90">
        <v>111</v>
      </c>
      <c r="N13" s="527">
        <v>46</v>
      </c>
      <c r="O13" s="527">
        <v>143.74</v>
      </c>
      <c r="P13" s="133">
        <f t="shared" si="20"/>
        <v>0.77222763322665922</v>
      </c>
      <c r="Q13" s="527">
        <v>66</v>
      </c>
      <c r="R13" s="527">
        <v>4</v>
      </c>
      <c r="S13" s="112">
        <v>2809043</v>
      </c>
      <c r="T13" s="92">
        <v>5357155</v>
      </c>
      <c r="U13" s="112">
        <v>2315948</v>
      </c>
      <c r="V13" s="112">
        <v>3041207</v>
      </c>
      <c r="W13" s="135">
        <f t="shared" si="21"/>
        <v>0.5676906865677771</v>
      </c>
    </row>
    <row r="14" spans="1:220" customFormat="1">
      <c r="A14" s="113" t="s">
        <v>26</v>
      </c>
      <c r="B14" s="527">
        <v>10</v>
      </c>
      <c r="C14" s="527">
        <v>2.5</v>
      </c>
      <c r="D14" s="89">
        <v>12.5</v>
      </c>
      <c r="E14" s="90">
        <v>17</v>
      </c>
      <c r="F14" s="90">
        <v>13</v>
      </c>
      <c r="G14" s="85"/>
      <c r="H14" s="85"/>
      <c r="I14" s="527">
        <v>123</v>
      </c>
      <c r="J14" s="527">
        <v>19</v>
      </c>
      <c r="K14" s="89">
        <v>142</v>
      </c>
      <c r="L14" s="527">
        <v>12.73</v>
      </c>
      <c r="M14" s="90">
        <v>136</v>
      </c>
      <c r="N14" s="527">
        <v>59</v>
      </c>
      <c r="O14" s="527">
        <v>166.74</v>
      </c>
      <c r="P14" s="133">
        <f t="shared" si="20"/>
        <v>0.81564111790812033</v>
      </c>
      <c r="Q14" s="527">
        <v>71</v>
      </c>
      <c r="R14" s="527">
        <v>4</v>
      </c>
      <c r="S14" s="112">
        <v>2878615</v>
      </c>
      <c r="T14" s="92">
        <v>3643403</v>
      </c>
      <c r="U14" s="112">
        <v>2124019</v>
      </c>
      <c r="V14" s="112">
        <v>1519384</v>
      </c>
      <c r="W14" s="135">
        <f t="shared" si="21"/>
        <v>0.41702331583961477</v>
      </c>
    </row>
    <row r="15" spans="1:220" customFormat="1">
      <c r="A15" s="113" t="s">
        <v>27</v>
      </c>
      <c r="B15" s="527">
        <v>13.5</v>
      </c>
      <c r="C15" s="527">
        <v>0.44</v>
      </c>
      <c r="D15" s="89">
        <v>13.94</v>
      </c>
      <c r="E15" s="90">
        <v>12</v>
      </c>
      <c r="F15" s="90">
        <v>12</v>
      </c>
      <c r="G15" s="85"/>
      <c r="H15" s="85"/>
      <c r="I15" s="527">
        <v>122</v>
      </c>
      <c r="J15" s="527">
        <v>20</v>
      </c>
      <c r="K15" s="89">
        <v>142</v>
      </c>
      <c r="L15" s="527">
        <v>13.4</v>
      </c>
      <c r="M15" s="90">
        <v>135</v>
      </c>
      <c r="N15" s="527">
        <v>49</v>
      </c>
      <c r="O15" s="527">
        <v>167.74</v>
      </c>
      <c r="P15" s="133">
        <f t="shared" si="20"/>
        <v>0.80481697865744606</v>
      </c>
      <c r="Q15" s="527">
        <v>80</v>
      </c>
      <c r="R15" s="527">
        <v>4</v>
      </c>
      <c r="S15" s="112">
        <v>2244111</v>
      </c>
      <c r="T15" s="92">
        <v>3628865</v>
      </c>
      <c r="U15" s="112">
        <v>2102392</v>
      </c>
      <c r="V15" s="112">
        <v>1526473</v>
      </c>
      <c r="W15" s="135">
        <f t="shared" si="21"/>
        <v>0.42064750273157037</v>
      </c>
    </row>
    <row r="16" spans="1:220" customFormat="1">
      <c r="A16" s="113" t="s">
        <v>28</v>
      </c>
      <c r="B16" s="527">
        <v>13.5</v>
      </c>
      <c r="C16" s="527">
        <v>0.33</v>
      </c>
      <c r="D16" s="89">
        <v>13.83</v>
      </c>
      <c r="E16" s="90">
        <v>14</v>
      </c>
      <c r="F16" s="90">
        <v>14</v>
      </c>
      <c r="G16" s="85"/>
      <c r="H16" s="85"/>
      <c r="I16" s="527">
        <v>138</v>
      </c>
      <c r="J16" s="527">
        <v>28</v>
      </c>
      <c r="K16" s="89">
        <v>166</v>
      </c>
      <c r="L16" s="527">
        <v>18.760000000000002</v>
      </c>
      <c r="M16" s="90">
        <v>157</v>
      </c>
      <c r="N16" s="527">
        <v>64</v>
      </c>
      <c r="O16" s="527">
        <v>190.43</v>
      </c>
      <c r="P16" s="133">
        <f t="shared" si="20"/>
        <v>0.82444992910780857</v>
      </c>
      <c r="Q16" s="527">
        <v>74</v>
      </c>
      <c r="R16" s="527">
        <v>6</v>
      </c>
      <c r="S16" s="112">
        <v>2386474</v>
      </c>
      <c r="T16" s="92">
        <v>3116888</v>
      </c>
      <c r="U16" s="112">
        <v>1811875</v>
      </c>
      <c r="V16" s="112">
        <v>1305013</v>
      </c>
      <c r="W16" s="135">
        <f t="shared" si="21"/>
        <v>0.41869101488407667</v>
      </c>
    </row>
    <row r="17" spans="1:23" customFormat="1">
      <c r="A17" s="113" t="s">
        <v>29</v>
      </c>
      <c r="B17" s="527">
        <v>14.5</v>
      </c>
      <c r="C17" s="527">
        <v>0.33</v>
      </c>
      <c r="D17" s="89">
        <v>14.83</v>
      </c>
      <c r="E17" s="90">
        <v>14</v>
      </c>
      <c r="F17" s="90">
        <v>13</v>
      </c>
      <c r="G17" s="85"/>
      <c r="H17" s="85"/>
      <c r="I17" s="527">
        <v>131</v>
      </c>
      <c r="J17" s="527">
        <v>47</v>
      </c>
      <c r="K17" s="89">
        <v>178</v>
      </c>
      <c r="L17" s="527">
        <v>31.49</v>
      </c>
      <c r="M17" s="90">
        <v>162</v>
      </c>
      <c r="N17" s="527">
        <v>66</v>
      </c>
      <c r="O17" s="527">
        <v>196</v>
      </c>
      <c r="P17" s="133">
        <f t="shared" si="20"/>
        <v>0.82653061224489799</v>
      </c>
      <c r="Q17" s="527">
        <v>66</v>
      </c>
      <c r="R17" s="527">
        <v>5</v>
      </c>
      <c r="S17" s="112">
        <v>2770618</v>
      </c>
      <c r="T17" s="92">
        <v>2801328</v>
      </c>
      <c r="U17" s="112">
        <v>1969019</v>
      </c>
      <c r="V17" s="112">
        <v>832309</v>
      </c>
      <c r="W17" s="135">
        <f t="shared" si="21"/>
        <v>0.29711229816715501</v>
      </c>
    </row>
    <row r="18" spans="1:23" customFormat="1">
      <c r="A18" s="113">
        <v>2007</v>
      </c>
      <c r="B18" s="527">
        <v>13.5</v>
      </c>
      <c r="C18" s="527">
        <v>0.11</v>
      </c>
      <c r="D18" s="89">
        <v>13.61</v>
      </c>
      <c r="E18" s="90">
        <v>14</v>
      </c>
      <c r="F18" s="90">
        <v>14</v>
      </c>
      <c r="G18" s="85"/>
      <c r="H18" s="85"/>
      <c r="I18" s="527">
        <v>136</v>
      </c>
      <c r="J18" s="527">
        <v>34</v>
      </c>
      <c r="K18" s="89">
        <v>170</v>
      </c>
      <c r="L18" s="527">
        <v>22.78</v>
      </c>
      <c r="M18" s="90">
        <v>159</v>
      </c>
      <c r="N18" s="527">
        <v>59</v>
      </c>
      <c r="O18" s="527">
        <v>190</v>
      </c>
      <c r="P18" s="133">
        <f t="shared" si="20"/>
        <v>0.83684210526315794</v>
      </c>
      <c r="Q18" s="527">
        <v>85</v>
      </c>
      <c r="R18" s="527">
        <v>3</v>
      </c>
      <c r="S18" s="76">
        <v>2751215</v>
      </c>
      <c r="T18" s="92">
        <v>2799036</v>
      </c>
      <c r="U18" s="76">
        <v>1581031</v>
      </c>
      <c r="V18" s="76">
        <v>1218005</v>
      </c>
      <c r="W18" s="135">
        <f t="shared" si="21"/>
        <v>0.4351516021944698</v>
      </c>
    </row>
    <row r="19" spans="1:23" customFormat="1">
      <c r="A19" s="113">
        <v>2006</v>
      </c>
      <c r="B19" s="527">
        <v>13</v>
      </c>
      <c r="C19" s="527">
        <v>1</v>
      </c>
      <c r="D19" s="89">
        <v>14</v>
      </c>
      <c r="E19" s="90">
        <v>16</v>
      </c>
      <c r="F19" s="90">
        <v>15</v>
      </c>
      <c r="G19" s="85"/>
      <c r="H19" s="85"/>
      <c r="I19" s="527">
        <v>157</v>
      </c>
      <c r="J19" s="527">
        <v>32</v>
      </c>
      <c r="K19" s="89">
        <v>189</v>
      </c>
      <c r="L19" s="527">
        <v>21.44</v>
      </c>
      <c r="M19" s="90">
        <v>178</v>
      </c>
      <c r="N19" s="527">
        <v>74</v>
      </c>
      <c r="O19" s="527">
        <v>208</v>
      </c>
      <c r="P19" s="133">
        <f t="shared" si="20"/>
        <v>0.85576923076923073</v>
      </c>
      <c r="Q19" s="527">
        <v>81</v>
      </c>
      <c r="R19" s="527">
        <v>5</v>
      </c>
      <c r="S19" s="76">
        <v>2570603</v>
      </c>
      <c r="T19" s="92">
        <v>2731007</v>
      </c>
      <c r="U19" s="76">
        <v>1569064</v>
      </c>
      <c r="V19" s="76">
        <v>1161943</v>
      </c>
      <c r="W19" s="135">
        <f t="shared" si="21"/>
        <v>0.42546320825981038</v>
      </c>
    </row>
    <row r="20" spans="1:23" customFormat="1">
      <c r="A20" s="113">
        <v>2005</v>
      </c>
      <c r="B20" s="527">
        <v>14</v>
      </c>
      <c r="C20" s="527">
        <v>1</v>
      </c>
      <c r="D20" s="89">
        <v>15</v>
      </c>
      <c r="E20" s="90">
        <v>14</v>
      </c>
      <c r="F20" s="90">
        <v>13</v>
      </c>
      <c r="G20" s="85"/>
      <c r="H20" s="85"/>
      <c r="I20" s="527">
        <v>150</v>
      </c>
      <c r="J20" s="527">
        <v>25</v>
      </c>
      <c r="K20" s="89">
        <v>175</v>
      </c>
      <c r="L20" s="527">
        <v>17</v>
      </c>
      <c r="M20" s="90">
        <v>167</v>
      </c>
      <c r="N20" s="527">
        <v>72</v>
      </c>
      <c r="O20" s="527">
        <v>193</v>
      </c>
      <c r="P20" s="133">
        <f t="shared" si="20"/>
        <v>0.86528497409326421</v>
      </c>
      <c r="Q20" s="527">
        <v>77</v>
      </c>
      <c r="R20" s="527">
        <v>3</v>
      </c>
      <c r="S20" s="76">
        <v>2481251</v>
      </c>
      <c r="T20" s="92">
        <v>3505738</v>
      </c>
      <c r="U20" s="76">
        <v>1705553</v>
      </c>
      <c r="V20" s="76">
        <v>1800185</v>
      </c>
      <c r="W20" s="135">
        <f t="shared" si="21"/>
        <v>0.51349673021771736</v>
      </c>
    </row>
    <row r="21" spans="1:23" customFormat="1">
      <c r="A21" s="113">
        <v>2004</v>
      </c>
      <c r="B21" s="527">
        <v>12</v>
      </c>
      <c r="C21" s="527">
        <v>1</v>
      </c>
      <c r="D21" s="89">
        <v>13</v>
      </c>
      <c r="E21" s="90">
        <v>15</v>
      </c>
      <c r="F21" s="90">
        <v>14</v>
      </c>
      <c r="G21" s="85"/>
      <c r="H21" s="85"/>
      <c r="I21" s="527">
        <v>138</v>
      </c>
      <c r="J21" s="527">
        <v>34</v>
      </c>
      <c r="K21" s="89">
        <v>172</v>
      </c>
      <c r="L21" s="527">
        <v>22.77</v>
      </c>
      <c r="M21" s="90">
        <v>161</v>
      </c>
      <c r="N21" s="527">
        <v>55</v>
      </c>
      <c r="O21" s="527">
        <v>185.11</v>
      </c>
      <c r="P21" s="133">
        <f t="shared" si="20"/>
        <v>0.86975311976662517</v>
      </c>
      <c r="Q21" s="527">
        <v>52</v>
      </c>
      <c r="R21" s="527">
        <v>7</v>
      </c>
      <c r="S21" s="76">
        <v>2595475</v>
      </c>
      <c r="T21" s="92">
        <v>3161927</v>
      </c>
      <c r="U21" s="76">
        <v>1489940</v>
      </c>
      <c r="V21" s="76">
        <v>1671987</v>
      </c>
      <c r="W21" s="135">
        <f t="shared" si="21"/>
        <v>0.52878735024559387</v>
      </c>
    </row>
    <row r="22" spans="1:23" customFormat="1">
      <c r="A22" s="113">
        <v>2003</v>
      </c>
      <c r="B22" s="527">
        <v>13</v>
      </c>
      <c r="C22" s="527">
        <v>0</v>
      </c>
      <c r="D22" s="89">
        <v>13</v>
      </c>
      <c r="E22" s="90">
        <v>14</v>
      </c>
      <c r="F22" s="90">
        <v>14</v>
      </c>
      <c r="G22" s="85"/>
      <c r="H22" s="85"/>
      <c r="I22" s="527">
        <v>122</v>
      </c>
      <c r="J22" s="527">
        <v>40</v>
      </c>
      <c r="K22" s="89">
        <v>162</v>
      </c>
      <c r="L22" s="527">
        <v>27</v>
      </c>
      <c r="M22" s="90">
        <v>149</v>
      </c>
      <c r="N22" s="527">
        <v>45</v>
      </c>
      <c r="O22" s="527">
        <v>178</v>
      </c>
      <c r="P22" s="133">
        <f t="shared" si="20"/>
        <v>0.8370786516853933</v>
      </c>
      <c r="Q22" s="527">
        <v>50</v>
      </c>
      <c r="R22" s="527">
        <v>3</v>
      </c>
      <c r="S22" s="76">
        <v>2783270</v>
      </c>
      <c r="T22" s="92">
        <v>3483154</v>
      </c>
      <c r="U22" s="76">
        <v>1573017</v>
      </c>
      <c r="V22" s="76">
        <v>1910137</v>
      </c>
      <c r="W22" s="135">
        <f t="shared" si="21"/>
        <v>0.54839292204708723</v>
      </c>
    </row>
    <row r="23" spans="1:23" customFormat="1">
      <c r="A23" s="113">
        <v>2002</v>
      </c>
      <c r="B23" s="527">
        <v>13</v>
      </c>
      <c r="C23" s="527">
        <v>1</v>
      </c>
      <c r="D23" s="89">
        <v>14</v>
      </c>
      <c r="E23" s="90">
        <v>11</v>
      </c>
      <c r="F23" s="90">
        <v>10</v>
      </c>
      <c r="G23" s="85"/>
      <c r="H23" s="85"/>
      <c r="I23" s="527">
        <v>92</v>
      </c>
      <c r="J23" s="527">
        <v>35</v>
      </c>
      <c r="K23" s="89">
        <v>127</v>
      </c>
      <c r="L23" s="527">
        <v>24</v>
      </c>
      <c r="M23" s="90">
        <v>116</v>
      </c>
      <c r="N23" s="527">
        <v>41</v>
      </c>
      <c r="O23" s="527">
        <v>142</v>
      </c>
      <c r="P23" s="133">
        <f t="shared" si="20"/>
        <v>0.81690140845070425</v>
      </c>
      <c r="Q23" s="527">
        <v>76</v>
      </c>
      <c r="R23" s="527">
        <v>4</v>
      </c>
      <c r="S23" s="76">
        <v>2675434</v>
      </c>
      <c r="T23" s="92">
        <v>2817908</v>
      </c>
      <c r="U23" s="76">
        <v>1662738</v>
      </c>
      <c r="V23" s="76">
        <v>1155170</v>
      </c>
      <c r="W23" s="135">
        <f t="shared" si="21"/>
        <v>0.4099388624468932</v>
      </c>
    </row>
    <row r="24" spans="1:23" s="62" customFormat="1"/>
    <row r="25" spans="1:23" s="62" customFormat="1"/>
    <row r="26" spans="1:23" s="62" customFormat="1"/>
    <row r="27" spans="1:23" s="62" customFormat="1"/>
    <row r="28" spans="1:23" s="62" customFormat="1"/>
    <row r="29" spans="1:23" s="62" customFormat="1"/>
    <row r="30" spans="1:23" s="62" customFormat="1"/>
    <row r="31" spans="1:23" s="62" customFormat="1"/>
    <row r="32" spans="1:23" s="62" customFormat="1"/>
    <row r="33" s="62" customFormat="1"/>
    <row r="34" s="62" customFormat="1"/>
    <row r="35" s="62" customFormat="1"/>
  </sheetData>
  <printOptions headings="1" gridLines="1"/>
  <pageMargins left="0.5" right="0.5" top="0.5" bottom="0.5" header="0" footer="0"/>
  <pageSetup paperSize="5" scale="68" orientation="landscape" horizontalDpi="1200" verticalDpi="120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L35"/>
  <sheetViews>
    <sheetView workbookViewId="0">
      <selection activeCell="J24" sqref="J24"/>
    </sheetView>
  </sheetViews>
  <sheetFormatPr defaultColWidth="8.85546875" defaultRowHeight="15"/>
  <cols>
    <col min="1" max="1" width="9.140625" style="63" customWidth="1"/>
    <col min="2" max="2" width="7.7109375" style="63" customWidth="1"/>
    <col min="3" max="3" width="8.42578125" style="63" bestFit="1" customWidth="1"/>
    <col min="4" max="4" width="9.28515625" style="63" bestFit="1" customWidth="1"/>
    <col min="5" max="5" width="12.28515625" style="63" bestFit="1" customWidth="1"/>
    <col min="6" max="6" width="11.42578125" style="63" bestFit="1" customWidth="1"/>
    <col min="7" max="8" width="12.140625" style="63" customWidth="1"/>
    <col min="9" max="9" width="8.85546875" style="63" bestFit="1" customWidth="1"/>
    <col min="10" max="11" width="11.85546875" style="63" bestFit="1" customWidth="1"/>
    <col min="12" max="12" width="12.28515625" style="63" bestFit="1" customWidth="1"/>
    <col min="13" max="14" width="13.140625" style="63" bestFit="1" customWidth="1"/>
    <col min="15" max="15" width="13.42578125" style="63" bestFit="1" customWidth="1"/>
    <col min="16" max="16" width="14.28515625" style="63" customWidth="1"/>
    <col min="17" max="17" width="12.42578125" style="63" bestFit="1" customWidth="1"/>
    <col min="18" max="18" width="9" style="63" bestFit="1" customWidth="1"/>
    <col min="19" max="19" width="11.85546875" style="63" bestFit="1" customWidth="1"/>
    <col min="20" max="20" width="12.85546875" style="63" bestFit="1" customWidth="1"/>
    <col min="21" max="21" width="12.7109375" style="63" bestFit="1" customWidth="1"/>
    <col min="22" max="22" width="10.85546875" style="63" bestFit="1" customWidth="1"/>
    <col min="23" max="23" width="12.85546875" style="63" bestFit="1" customWidth="1"/>
    <col min="24" max="16384" width="8.85546875" style="63"/>
  </cols>
  <sheetData>
    <row r="1" spans="1:220" s="1" customFormat="1" ht="18.75">
      <c r="A1" s="1" t="s">
        <v>55</v>
      </c>
      <c r="B1" s="2"/>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row>
    <row r="2" spans="1:220" s="3" customFormat="1" ht="60">
      <c r="A2" s="5" t="s">
        <v>4</v>
      </c>
      <c r="B2" s="5" t="s">
        <v>5</v>
      </c>
      <c r="C2" s="5" t="s">
        <v>6</v>
      </c>
      <c r="D2" s="5" t="s">
        <v>7</v>
      </c>
      <c r="E2" s="5" t="s">
        <v>8</v>
      </c>
      <c r="F2" s="5" t="s">
        <v>9</v>
      </c>
      <c r="G2" s="5" t="s">
        <v>10</v>
      </c>
      <c r="H2" s="5" t="s">
        <v>11</v>
      </c>
      <c r="I2" s="5" t="s">
        <v>12</v>
      </c>
      <c r="J2" s="5" t="s">
        <v>13</v>
      </c>
      <c r="K2" s="5" t="s">
        <v>1</v>
      </c>
      <c r="L2" s="5" t="s">
        <v>14</v>
      </c>
      <c r="M2" s="5" t="s">
        <v>15</v>
      </c>
      <c r="N2" s="5" t="s">
        <v>16</v>
      </c>
      <c r="O2" s="5" t="s">
        <v>17</v>
      </c>
      <c r="P2" s="5" t="s">
        <v>18</v>
      </c>
      <c r="Q2" s="5" t="s">
        <v>2</v>
      </c>
      <c r="R2" s="5" t="s">
        <v>19</v>
      </c>
      <c r="S2" s="5" t="s">
        <v>20</v>
      </c>
      <c r="T2" s="5" t="s">
        <v>21</v>
      </c>
      <c r="U2" s="5" t="s">
        <v>22</v>
      </c>
      <c r="V2" s="5" t="s">
        <v>23</v>
      </c>
      <c r="W2" s="5" t="s">
        <v>24</v>
      </c>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row>
    <row r="3" spans="1:220" customFormat="1">
      <c r="A3" s="10">
        <v>2022</v>
      </c>
      <c r="B3" s="17">
        <v>4</v>
      </c>
      <c r="C3" s="17">
        <v>3</v>
      </c>
      <c r="D3" s="23">
        <f>SUM(B3:C3)</f>
        <v>7</v>
      </c>
      <c r="E3" s="82">
        <f>ROUND((O3/B3), 0)</f>
        <v>10</v>
      </c>
      <c r="F3" s="82">
        <f>ROUND((O3/D3), 0)</f>
        <v>6</v>
      </c>
      <c r="G3" s="17">
        <v>4</v>
      </c>
      <c r="H3" s="17">
        <v>3</v>
      </c>
      <c r="I3" s="17">
        <v>7</v>
      </c>
      <c r="J3" s="17">
        <v>50</v>
      </c>
      <c r="K3" s="23">
        <f t="shared" ref="K3" si="0">SUM(I3:J3)</f>
        <v>57</v>
      </c>
      <c r="L3" s="17">
        <v>26</v>
      </c>
      <c r="M3" s="82">
        <f>(I3+L3)</f>
        <v>33</v>
      </c>
      <c r="N3" s="17">
        <v>19</v>
      </c>
      <c r="O3" s="17">
        <v>39</v>
      </c>
      <c r="P3" s="133">
        <f>M3/O3</f>
        <v>0.84615384615384615</v>
      </c>
      <c r="Q3" s="17">
        <v>31</v>
      </c>
      <c r="R3" s="17">
        <v>0</v>
      </c>
      <c r="S3" s="20">
        <v>688967</v>
      </c>
      <c r="T3" s="24">
        <f>SUM(U3:V3)</f>
        <v>846785</v>
      </c>
      <c r="U3" s="20">
        <v>690985</v>
      </c>
      <c r="V3" s="20">
        <v>155800</v>
      </c>
      <c r="W3" s="135">
        <f>V3/T3</f>
        <v>0.18399003288910409</v>
      </c>
    </row>
    <row r="4" spans="1:220" s="64" customFormat="1">
      <c r="A4" s="105">
        <v>2021</v>
      </c>
      <c r="B4" s="54">
        <v>6</v>
      </c>
      <c r="C4" s="54">
        <v>5</v>
      </c>
      <c r="D4" s="19">
        <v>11</v>
      </c>
      <c r="E4" s="19">
        <v>8</v>
      </c>
      <c r="F4" s="19">
        <v>4</v>
      </c>
      <c r="G4" s="54">
        <v>6</v>
      </c>
      <c r="H4" s="54">
        <v>5</v>
      </c>
      <c r="I4" s="54">
        <v>6</v>
      </c>
      <c r="J4" s="54">
        <v>58</v>
      </c>
      <c r="K4" s="19">
        <v>64</v>
      </c>
      <c r="L4" s="54">
        <v>30</v>
      </c>
      <c r="M4" s="19">
        <v>39</v>
      </c>
      <c r="N4" s="54">
        <v>11</v>
      </c>
      <c r="O4" s="54">
        <v>35.799999999999997</v>
      </c>
      <c r="P4" s="385">
        <v>1</v>
      </c>
      <c r="Q4" s="54">
        <v>36</v>
      </c>
      <c r="R4" s="54">
        <v>0</v>
      </c>
      <c r="S4" s="505" t="s">
        <v>56</v>
      </c>
      <c r="T4" s="506">
        <v>2074918</v>
      </c>
      <c r="U4" s="507">
        <v>2035590</v>
      </c>
      <c r="V4" s="58">
        <v>39328</v>
      </c>
      <c r="W4" s="385">
        <f>V4/T4</f>
        <v>1.8954002037670885E-2</v>
      </c>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row>
    <row r="5" spans="1:220" customFormat="1">
      <c r="A5" s="10">
        <v>2020</v>
      </c>
      <c r="B5" s="17">
        <v>6</v>
      </c>
      <c r="C5" s="17">
        <v>4</v>
      </c>
      <c r="D5" s="23">
        <v>10</v>
      </c>
      <c r="E5" s="82">
        <v>7</v>
      </c>
      <c r="F5" s="82">
        <v>4</v>
      </c>
      <c r="G5" s="17">
        <v>6</v>
      </c>
      <c r="H5" s="17">
        <v>4</v>
      </c>
      <c r="I5" s="17">
        <v>12</v>
      </c>
      <c r="J5" s="17">
        <v>61</v>
      </c>
      <c r="K5" s="23">
        <v>89</v>
      </c>
      <c r="L5" s="17">
        <v>34</v>
      </c>
      <c r="M5" s="82">
        <v>42</v>
      </c>
      <c r="N5" s="17">
        <v>12</v>
      </c>
      <c r="O5" s="17">
        <v>47</v>
      </c>
      <c r="P5" s="133">
        <v>1</v>
      </c>
      <c r="Q5" s="17">
        <v>45</v>
      </c>
      <c r="R5" s="17">
        <v>8</v>
      </c>
      <c r="S5" s="20" t="s">
        <v>57</v>
      </c>
      <c r="T5" s="24">
        <f>SUM(U5:V5)</f>
        <v>1345348</v>
      </c>
      <c r="U5" s="20">
        <v>1202160</v>
      </c>
      <c r="V5" s="20">
        <v>143188</v>
      </c>
      <c r="W5" s="135">
        <v>4.4999999999999998E-2</v>
      </c>
    </row>
    <row r="6" spans="1:220" customFormat="1">
      <c r="A6" s="10">
        <v>2019</v>
      </c>
      <c r="B6" s="17">
        <v>6</v>
      </c>
      <c r="C6" s="17">
        <v>5</v>
      </c>
      <c r="D6" s="23">
        <f>SUM(B6:C6)</f>
        <v>11</v>
      </c>
      <c r="E6" s="82">
        <f>ROUND((O6/B6), 0)</f>
        <v>8</v>
      </c>
      <c r="F6" s="82">
        <f>ROUND((O6/D6), 0)</f>
        <v>4</v>
      </c>
      <c r="G6" s="17">
        <v>6</v>
      </c>
      <c r="H6" s="17">
        <v>5</v>
      </c>
      <c r="I6" s="17">
        <v>8</v>
      </c>
      <c r="J6" s="17">
        <v>73</v>
      </c>
      <c r="K6" s="23">
        <f t="shared" ref="K6" si="1">SUM(I6:J6)</f>
        <v>81</v>
      </c>
      <c r="L6" s="17">
        <v>41.11</v>
      </c>
      <c r="M6" s="82">
        <f>(I6+L6)</f>
        <v>49.11</v>
      </c>
      <c r="N6" s="17">
        <v>18</v>
      </c>
      <c r="O6" s="17">
        <v>49.11</v>
      </c>
      <c r="P6" s="133">
        <f>M6/O6</f>
        <v>1</v>
      </c>
      <c r="Q6" s="17">
        <v>35</v>
      </c>
      <c r="R6" s="17">
        <v>0</v>
      </c>
      <c r="S6" s="20">
        <v>884997.27</v>
      </c>
      <c r="T6" s="24">
        <f>SUM(U6:V6)</f>
        <v>1093702.42</v>
      </c>
      <c r="U6" s="20">
        <v>1052168.96</v>
      </c>
      <c r="V6" s="20">
        <v>41533.46</v>
      </c>
      <c r="W6" s="135">
        <f>V6/T6</f>
        <v>3.7975101124856248E-2</v>
      </c>
    </row>
    <row r="7" spans="1:220" s="14" customFormat="1">
      <c r="A7" s="10">
        <v>2018</v>
      </c>
      <c r="B7" s="17">
        <v>6</v>
      </c>
      <c r="C7" s="17">
        <v>2</v>
      </c>
      <c r="D7" s="23">
        <f>SUM(B7:C7)</f>
        <v>8</v>
      </c>
      <c r="E7" s="82">
        <f>ROUND((O7/B7), 0)</f>
        <v>11</v>
      </c>
      <c r="F7" s="82">
        <f>ROUND((O7/D7), 0)</f>
        <v>8</v>
      </c>
      <c r="G7" s="17">
        <v>6</v>
      </c>
      <c r="H7" s="17">
        <v>2</v>
      </c>
      <c r="I7" s="17">
        <v>22</v>
      </c>
      <c r="J7" s="17">
        <v>76</v>
      </c>
      <c r="K7" s="23">
        <f t="shared" ref="K7" si="2">SUM(I7:J7)</f>
        <v>98</v>
      </c>
      <c r="L7" s="17">
        <v>40</v>
      </c>
      <c r="M7" s="82">
        <f>(I7+L7)</f>
        <v>62</v>
      </c>
      <c r="N7" s="17">
        <v>28</v>
      </c>
      <c r="O7" s="17">
        <v>64</v>
      </c>
      <c r="P7" s="133">
        <f>M7/O7</f>
        <v>0.96875</v>
      </c>
      <c r="Q7" s="17">
        <v>26</v>
      </c>
      <c r="R7" s="17">
        <v>1</v>
      </c>
      <c r="S7" s="20">
        <v>965135.81</v>
      </c>
      <c r="T7" s="24">
        <f>SUM(U7:V7)</f>
        <v>1086410</v>
      </c>
      <c r="U7" s="20">
        <v>965134</v>
      </c>
      <c r="V7" s="20">
        <v>121276</v>
      </c>
      <c r="W7" s="135">
        <f>V7/T7</f>
        <v>0.1116300475879272</v>
      </c>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row>
    <row r="8" spans="1:220" s="14" customFormat="1">
      <c r="A8" s="10">
        <v>2017</v>
      </c>
      <c r="B8" s="17">
        <v>7</v>
      </c>
      <c r="C8" s="17">
        <v>1</v>
      </c>
      <c r="D8" s="65">
        <f>B8+C8</f>
        <v>8</v>
      </c>
      <c r="E8" s="13">
        <f>ROUND((O8/B8), 0)</f>
        <v>9</v>
      </c>
      <c r="F8" s="13">
        <f>ROUND((O8/D8), 0)</f>
        <v>8</v>
      </c>
      <c r="G8" s="17">
        <v>7</v>
      </c>
      <c r="H8" s="17">
        <v>1</v>
      </c>
      <c r="I8" s="17">
        <v>17</v>
      </c>
      <c r="J8" s="17">
        <v>65</v>
      </c>
      <c r="K8" s="65">
        <f>I8+J8</f>
        <v>82</v>
      </c>
      <c r="L8" s="17">
        <v>44</v>
      </c>
      <c r="M8" s="13">
        <f>I8+L8</f>
        <v>61</v>
      </c>
      <c r="N8" s="17">
        <v>21</v>
      </c>
      <c r="O8" s="17">
        <v>66</v>
      </c>
      <c r="P8" s="133">
        <f t="shared" ref="P8:P23" si="3">M8/O8</f>
        <v>0.9242424242424242</v>
      </c>
      <c r="Q8" s="17">
        <v>37</v>
      </c>
      <c r="R8" s="17">
        <v>1</v>
      </c>
      <c r="S8" s="20">
        <v>1011309.88</v>
      </c>
      <c r="T8" s="68">
        <f>SUM(U8:V8)</f>
        <v>1094349</v>
      </c>
      <c r="U8" s="20">
        <v>907248</v>
      </c>
      <c r="V8" s="20">
        <v>187101</v>
      </c>
      <c r="W8" s="135">
        <f t="shared" ref="W8:W23" si="4">V8/T8</f>
        <v>0.17097013841105535</v>
      </c>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row>
    <row r="9" spans="1:220" s="14" customFormat="1">
      <c r="A9" s="10">
        <v>2016</v>
      </c>
      <c r="B9" s="54">
        <v>7</v>
      </c>
      <c r="C9" s="54">
        <v>2</v>
      </c>
      <c r="D9" s="65">
        <f>B9+C9</f>
        <v>9</v>
      </c>
      <c r="E9" s="13">
        <f>ROUND((O9/B9), 0)</f>
        <v>12</v>
      </c>
      <c r="F9" s="13">
        <f>ROUND((O9/D9), 0)</f>
        <v>9</v>
      </c>
      <c r="G9" s="54">
        <v>7</v>
      </c>
      <c r="H9" s="54">
        <v>2</v>
      </c>
      <c r="I9" s="54">
        <v>24</v>
      </c>
      <c r="J9" s="54">
        <v>61</v>
      </c>
      <c r="K9" s="65">
        <f>I9+J9</f>
        <v>85</v>
      </c>
      <c r="L9" s="54">
        <v>35</v>
      </c>
      <c r="M9" s="13">
        <f>I9+L9</f>
        <v>59</v>
      </c>
      <c r="N9" s="54">
        <v>24</v>
      </c>
      <c r="O9" s="54">
        <v>85</v>
      </c>
      <c r="P9" s="133">
        <f t="shared" si="3"/>
        <v>0.69411764705882351</v>
      </c>
      <c r="Q9" s="54">
        <v>44</v>
      </c>
      <c r="R9" s="54">
        <v>4</v>
      </c>
      <c r="S9" s="55">
        <v>1467186</v>
      </c>
      <c r="T9" s="68">
        <f>SUM(U9:V9)</f>
        <v>1034388</v>
      </c>
      <c r="U9" s="55">
        <v>911177</v>
      </c>
      <c r="V9" s="55">
        <v>123211</v>
      </c>
      <c r="W9" s="135">
        <f t="shared" si="4"/>
        <v>0.11911487758945385</v>
      </c>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row>
    <row r="10" spans="1:220" s="16" customFormat="1">
      <c r="A10" s="15">
        <v>2015</v>
      </c>
      <c r="B10" s="70">
        <v>7</v>
      </c>
      <c r="C10" s="70">
        <v>1</v>
      </c>
      <c r="D10" s="65">
        <v>8</v>
      </c>
      <c r="E10" s="65">
        <v>8.1</v>
      </c>
      <c r="F10" s="65">
        <v>7.1</v>
      </c>
      <c r="G10" s="83"/>
      <c r="H10" s="83"/>
      <c r="I10" s="70">
        <v>15</v>
      </c>
      <c r="J10" s="70">
        <v>69</v>
      </c>
      <c r="K10" s="65">
        <v>84</v>
      </c>
      <c r="L10" s="70">
        <v>42</v>
      </c>
      <c r="M10" s="65">
        <v>57</v>
      </c>
      <c r="N10" s="70">
        <v>24</v>
      </c>
      <c r="O10" s="70">
        <v>57</v>
      </c>
      <c r="P10" s="133">
        <f t="shared" si="3"/>
        <v>1</v>
      </c>
      <c r="Q10" s="70">
        <v>69</v>
      </c>
      <c r="R10" s="70">
        <v>7</v>
      </c>
      <c r="S10" s="78">
        <v>1433896</v>
      </c>
      <c r="T10" s="79">
        <v>1255600</v>
      </c>
      <c r="U10" s="78">
        <v>1026500</v>
      </c>
      <c r="V10" s="78">
        <v>229100</v>
      </c>
      <c r="W10" s="135">
        <f t="shared" si="4"/>
        <v>0.1824625676967187</v>
      </c>
    </row>
    <row r="11" spans="1:220" s="16" customFormat="1">
      <c r="A11" s="15">
        <v>2014</v>
      </c>
      <c r="B11" s="70">
        <v>8</v>
      </c>
      <c r="C11" s="70">
        <v>4</v>
      </c>
      <c r="D11" s="65">
        <f>B11+C11</f>
        <v>12</v>
      </c>
      <c r="E11" s="13">
        <f t="shared" ref="E11:E23" si="5">ROUND((O11/B11), 0)</f>
        <v>10</v>
      </c>
      <c r="F11" s="13">
        <f t="shared" ref="F11:F23" si="6">ROUND((O11/D11), 0)</f>
        <v>7</v>
      </c>
      <c r="G11" s="83"/>
      <c r="H11" s="83"/>
      <c r="I11" s="70">
        <v>14</v>
      </c>
      <c r="J11" s="70">
        <v>101</v>
      </c>
      <c r="K11" s="65">
        <f>I11+J11</f>
        <v>115</v>
      </c>
      <c r="L11" s="70">
        <v>56</v>
      </c>
      <c r="M11" s="13">
        <f>I11+L11</f>
        <v>70</v>
      </c>
      <c r="N11" s="70">
        <v>34</v>
      </c>
      <c r="O11" s="70">
        <v>79</v>
      </c>
      <c r="P11" s="133">
        <f t="shared" si="3"/>
        <v>0.88607594936708856</v>
      </c>
      <c r="Q11" s="70">
        <v>58</v>
      </c>
      <c r="R11" s="70">
        <v>6</v>
      </c>
      <c r="S11" s="71">
        <v>1864815</v>
      </c>
      <c r="T11" s="68">
        <f t="shared" ref="T11:T23" si="7">SUM(U11:V11)</f>
        <v>2116084</v>
      </c>
      <c r="U11" s="71">
        <v>1136557</v>
      </c>
      <c r="V11" s="110">
        <v>979527</v>
      </c>
      <c r="W11" s="135">
        <f t="shared" si="4"/>
        <v>0.46289608541059807</v>
      </c>
    </row>
    <row r="12" spans="1:220" customFormat="1">
      <c r="A12" s="150" t="s">
        <v>34</v>
      </c>
      <c r="B12" s="528">
        <v>8</v>
      </c>
      <c r="C12" s="528">
        <v>5</v>
      </c>
      <c r="D12" s="23">
        <f>B12+C12</f>
        <v>13</v>
      </c>
      <c r="E12" s="82">
        <f t="shared" si="5"/>
        <v>13</v>
      </c>
      <c r="F12" s="82">
        <f t="shared" si="6"/>
        <v>8</v>
      </c>
      <c r="G12" s="85"/>
      <c r="H12" s="85"/>
      <c r="I12" s="528">
        <v>9</v>
      </c>
      <c r="J12" s="528">
        <v>127</v>
      </c>
      <c r="K12" s="23">
        <f>I12+J12</f>
        <v>136</v>
      </c>
      <c r="L12" s="528">
        <v>72</v>
      </c>
      <c r="M12" s="82">
        <f>I12+L12</f>
        <v>81</v>
      </c>
      <c r="N12" s="528">
        <v>41</v>
      </c>
      <c r="O12" s="528">
        <v>106</v>
      </c>
      <c r="P12" s="133">
        <f t="shared" si="3"/>
        <v>0.76415094339622647</v>
      </c>
      <c r="Q12" s="528">
        <v>77</v>
      </c>
      <c r="R12" s="528">
        <v>28</v>
      </c>
      <c r="S12" s="84">
        <v>1241463</v>
      </c>
      <c r="T12" s="24">
        <f t="shared" si="7"/>
        <v>3051072</v>
      </c>
      <c r="U12" s="84">
        <v>2009747</v>
      </c>
      <c r="V12" s="112">
        <v>1041325</v>
      </c>
      <c r="W12" s="135">
        <f t="shared" si="4"/>
        <v>0.34129807490613134</v>
      </c>
    </row>
    <row r="13" spans="1:220" customFormat="1">
      <c r="A13" s="533" t="s">
        <v>25</v>
      </c>
      <c r="B13" s="528">
        <v>8</v>
      </c>
      <c r="C13" s="528">
        <v>5</v>
      </c>
      <c r="D13" s="23">
        <f>B13+C13</f>
        <v>13</v>
      </c>
      <c r="E13" s="82">
        <f t="shared" si="5"/>
        <v>17</v>
      </c>
      <c r="F13" s="82">
        <f t="shared" si="6"/>
        <v>10</v>
      </c>
      <c r="G13" s="85"/>
      <c r="H13" s="85"/>
      <c r="I13" s="528">
        <v>24</v>
      </c>
      <c r="J13" s="528">
        <v>140</v>
      </c>
      <c r="K13" s="23">
        <f>I13+J13</f>
        <v>164</v>
      </c>
      <c r="L13" s="528">
        <v>74</v>
      </c>
      <c r="M13" s="82">
        <f>I13+L13</f>
        <v>98</v>
      </c>
      <c r="N13" s="528">
        <v>27</v>
      </c>
      <c r="O13" s="528">
        <v>133</v>
      </c>
      <c r="P13" s="133">
        <f t="shared" si="3"/>
        <v>0.73684210526315785</v>
      </c>
      <c r="Q13" s="528">
        <v>80</v>
      </c>
      <c r="R13" s="528">
        <v>0</v>
      </c>
      <c r="S13" s="84">
        <v>1481934.27</v>
      </c>
      <c r="T13" s="24">
        <f t="shared" si="7"/>
        <v>1484109.09</v>
      </c>
      <c r="U13" s="84">
        <v>1455129.09</v>
      </c>
      <c r="V13" s="112">
        <v>28980</v>
      </c>
      <c r="W13" s="135">
        <f t="shared" si="4"/>
        <v>1.952686645157601E-2</v>
      </c>
    </row>
    <row r="14" spans="1:220" customFormat="1">
      <c r="A14" s="533" t="s">
        <v>26</v>
      </c>
      <c r="B14" s="528">
        <v>8</v>
      </c>
      <c r="C14" s="528">
        <v>5.7</v>
      </c>
      <c r="D14" s="23">
        <f>SUM(B14:C14)</f>
        <v>13.7</v>
      </c>
      <c r="E14" s="82">
        <f t="shared" si="5"/>
        <v>17</v>
      </c>
      <c r="F14" s="82">
        <f t="shared" si="6"/>
        <v>10</v>
      </c>
      <c r="G14" s="85"/>
      <c r="H14" s="85"/>
      <c r="I14" s="528">
        <v>31</v>
      </c>
      <c r="J14" s="528">
        <v>182</v>
      </c>
      <c r="K14" s="23">
        <f t="shared" ref="K14:K23" si="8">SUM(I14:J14)</f>
        <v>213</v>
      </c>
      <c r="L14" s="528">
        <v>102</v>
      </c>
      <c r="M14" s="82">
        <f t="shared" ref="M14:M23" si="9">(I14+L14)</f>
        <v>133</v>
      </c>
      <c r="N14" s="528">
        <v>58</v>
      </c>
      <c r="O14" s="528">
        <v>138</v>
      </c>
      <c r="P14" s="133">
        <f t="shared" si="3"/>
        <v>0.96376811594202894</v>
      </c>
      <c r="Q14" s="528">
        <v>83</v>
      </c>
      <c r="R14" s="528">
        <v>0</v>
      </c>
      <c r="S14" s="84">
        <v>1487222.78</v>
      </c>
      <c r="T14" s="24">
        <f t="shared" si="7"/>
        <v>2343051.4</v>
      </c>
      <c r="U14" s="84">
        <v>2343051.4</v>
      </c>
      <c r="V14" s="112">
        <v>0</v>
      </c>
      <c r="W14" s="135">
        <f t="shared" si="4"/>
        <v>0</v>
      </c>
    </row>
    <row r="15" spans="1:220" customFormat="1">
      <c r="A15" s="533" t="s">
        <v>27</v>
      </c>
      <c r="B15" s="528">
        <v>7</v>
      </c>
      <c r="C15" s="528">
        <v>6.67</v>
      </c>
      <c r="D15" s="23">
        <f>SUM(B15:C15)</f>
        <v>13.67</v>
      </c>
      <c r="E15" s="82">
        <f t="shared" si="5"/>
        <v>21</v>
      </c>
      <c r="F15" s="82">
        <f t="shared" si="6"/>
        <v>11</v>
      </c>
      <c r="G15" s="85"/>
      <c r="H15" s="85"/>
      <c r="I15" s="528">
        <v>35</v>
      </c>
      <c r="J15" s="528">
        <v>196</v>
      </c>
      <c r="K15" s="23">
        <f t="shared" si="8"/>
        <v>231</v>
      </c>
      <c r="L15" s="528">
        <v>107.4</v>
      </c>
      <c r="M15" s="82">
        <f t="shared" si="9"/>
        <v>142.4</v>
      </c>
      <c r="N15" s="528">
        <v>38</v>
      </c>
      <c r="O15" s="528">
        <v>144.30000000000001</v>
      </c>
      <c r="P15" s="133">
        <f t="shared" si="3"/>
        <v>0.98683298683298681</v>
      </c>
      <c r="Q15" s="528">
        <v>82</v>
      </c>
      <c r="R15" s="528">
        <v>0</v>
      </c>
      <c r="S15" s="84">
        <v>1529286.62</v>
      </c>
      <c r="T15" s="24">
        <f t="shared" si="7"/>
        <v>2130821</v>
      </c>
      <c r="U15" s="84">
        <v>2130821</v>
      </c>
      <c r="V15" s="84">
        <v>0</v>
      </c>
      <c r="W15" s="135">
        <f t="shared" si="4"/>
        <v>0</v>
      </c>
    </row>
    <row r="16" spans="1:220" customFormat="1">
      <c r="A16" s="533" t="s">
        <v>28</v>
      </c>
      <c r="B16" s="528">
        <v>9</v>
      </c>
      <c r="C16" s="528">
        <v>4.33</v>
      </c>
      <c r="D16" s="23">
        <f>SUM(B16:C16)</f>
        <v>13.33</v>
      </c>
      <c r="E16" s="82">
        <f t="shared" si="5"/>
        <v>14</v>
      </c>
      <c r="F16" s="82">
        <f t="shared" si="6"/>
        <v>10</v>
      </c>
      <c r="G16" s="85"/>
      <c r="H16" s="85"/>
      <c r="I16" s="528">
        <v>22</v>
      </c>
      <c r="J16" s="528">
        <v>194</v>
      </c>
      <c r="K16" s="23">
        <f t="shared" si="8"/>
        <v>216</v>
      </c>
      <c r="L16" s="528">
        <v>103.6</v>
      </c>
      <c r="M16" s="82">
        <f t="shared" si="9"/>
        <v>125.6</v>
      </c>
      <c r="N16" s="528">
        <v>38</v>
      </c>
      <c r="O16" s="528">
        <v>127.5</v>
      </c>
      <c r="P16" s="133">
        <f t="shared" si="3"/>
        <v>0.98509803921568628</v>
      </c>
      <c r="Q16" s="528">
        <v>79</v>
      </c>
      <c r="R16" s="528">
        <v>0</v>
      </c>
      <c r="S16" s="84">
        <v>2195930</v>
      </c>
      <c r="T16" s="24">
        <f t="shared" si="7"/>
        <v>2212291</v>
      </c>
      <c r="U16" s="84">
        <v>2130821</v>
      </c>
      <c r="V16" s="84">
        <v>81470</v>
      </c>
      <c r="W16" s="135">
        <f t="shared" si="4"/>
        <v>3.6826077582017919E-2</v>
      </c>
    </row>
    <row r="17" spans="1:23" customFormat="1">
      <c r="A17" s="533" t="s">
        <v>29</v>
      </c>
      <c r="B17" s="528">
        <v>8</v>
      </c>
      <c r="C17" s="528">
        <v>6.6</v>
      </c>
      <c r="D17" s="23">
        <f>SUM(B17:C17)</f>
        <v>14.6</v>
      </c>
      <c r="E17" s="82">
        <f t="shared" si="5"/>
        <v>15</v>
      </c>
      <c r="F17" s="82">
        <f t="shared" si="6"/>
        <v>8</v>
      </c>
      <c r="G17" s="85"/>
      <c r="H17" s="85"/>
      <c r="I17" s="528">
        <v>26</v>
      </c>
      <c r="J17" s="528">
        <v>188</v>
      </c>
      <c r="K17" s="23">
        <f t="shared" si="8"/>
        <v>214</v>
      </c>
      <c r="L17" s="528">
        <v>95.8</v>
      </c>
      <c r="M17" s="82">
        <f t="shared" si="9"/>
        <v>121.8</v>
      </c>
      <c r="N17" s="528">
        <v>36</v>
      </c>
      <c r="O17" s="528">
        <v>123</v>
      </c>
      <c r="P17" s="133">
        <f t="shared" si="3"/>
        <v>0.99024390243902438</v>
      </c>
      <c r="Q17" s="528">
        <v>103</v>
      </c>
      <c r="R17" s="528">
        <v>0</v>
      </c>
      <c r="S17" s="84">
        <v>1854743</v>
      </c>
      <c r="T17" s="24">
        <f t="shared" si="7"/>
        <v>2307834</v>
      </c>
      <c r="U17" s="84">
        <v>2288030</v>
      </c>
      <c r="V17" s="84">
        <v>19804</v>
      </c>
      <c r="W17" s="135">
        <f t="shared" si="4"/>
        <v>8.5812064472574716E-3</v>
      </c>
    </row>
    <row r="18" spans="1:23" customFormat="1">
      <c r="A18" s="15">
        <v>2007</v>
      </c>
      <c r="B18" s="528">
        <v>7</v>
      </c>
      <c r="C18" s="528">
        <v>6.3</v>
      </c>
      <c r="D18" s="23">
        <f>SUM(B18:C18)</f>
        <v>13.3</v>
      </c>
      <c r="E18" s="82">
        <f t="shared" si="5"/>
        <v>19</v>
      </c>
      <c r="F18" s="82">
        <f t="shared" si="6"/>
        <v>10</v>
      </c>
      <c r="G18" s="85"/>
      <c r="H18" s="85"/>
      <c r="I18" s="528">
        <v>34</v>
      </c>
      <c r="J18" s="528">
        <v>188</v>
      </c>
      <c r="K18" s="23">
        <f t="shared" si="8"/>
        <v>222</v>
      </c>
      <c r="L18" s="528">
        <v>96.8</v>
      </c>
      <c r="M18" s="82">
        <f t="shared" si="9"/>
        <v>130.80000000000001</v>
      </c>
      <c r="N18" s="528">
        <v>38</v>
      </c>
      <c r="O18" s="528">
        <v>132</v>
      </c>
      <c r="P18" s="133">
        <f t="shared" si="3"/>
        <v>0.99090909090909096</v>
      </c>
      <c r="Q18" s="528">
        <v>97</v>
      </c>
      <c r="R18" s="528">
        <v>0</v>
      </c>
      <c r="S18" s="132">
        <v>1925229</v>
      </c>
      <c r="T18" s="24">
        <f t="shared" si="7"/>
        <v>2705293</v>
      </c>
      <c r="U18" s="132">
        <v>2693723</v>
      </c>
      <c r="V18" s="132">
        <v>11570</v>
      </c>
      <c r="W18" s="135">
        <f t="shared" si="4"/>
        <v>4.2768010710854606E-3</v>
      </c>
    </row>
    <row r="19" spans="1:23" customFormat="1">
      <c r="A19" s="15">
        <v>2006</v>
      </c>
      <c r="B19" s="528">
        <v>8</v>
      </c>
      <c r="C19" s="528">
        <v>6</v>
      </c>
      <c r="D19" s="23">
        <v>14</v>
      </c>
      <c r="E19" s="82">
        <f t="shared" si="5"/>
        <v>18</v>
      </c>
      <c r="F19" s="82">
        <f t="shared" si="6"/>
        <v>10</v>
      </c>
      <c r="G19" s="85"/>
      <c r="H19" s="85"/>
      <c r="I19" s="528">
        <v>39</v>
      </c>
      <c r="J19" s="528">
        <v>208</v>
      </c>
      <c r="K19" s="23">
        <f t="shared" si="8"/>
        <v>247</v>
      </c>
      <c r="L19" s="528">
        <v>102</v>
      </c>
      <c r="M19" s="82">
        <f t="shared" si="9"/>
        <v>141</v>
      </c>
      <c r="N19" s="528">
        <v>26</v>
      </c>
      <c r="O19" s="528">
        <v>143</v>
      </c>
      <c r="P19" s="133">
        <f t="shared" si="3"/>
        <v>0.98601398601398604</v>
      </c>
      <c r="Q19" s="528">
        <v>80</v>
      </c>
      <c r="R19" s="528">
        <v>0</v>
      </c>
      <c r="S19" s="132">
        <v>1873940.43</v>
      </c>
      <c r="T19" s="24">
        <f t="shared" si="7"/>
        <v>2584691.8199999998</v>
      </c>
      <c r="U19" s="132">
        <v>1995946</v>
      </c>
      <c r="V19" s="132">
        <v>588745.81999999995</v>
      </c>
      <c r="W19" s="135">
        <f t="shared" si="4"/>
        <v>0.22778182506880065</v>
      </c>
    </row>
    <row r="20" spans="1:23" customFormat="1">
      <c r="A20" s="15">
        <v>2005</v>
      </c>
      <c r="B20" s="528">
        <v>10</v>
      </c>
      <c r="C20" s="528">
        <v>4</v>
      </c>
      <c r="D20" s="23">
        <f>SUM(B20:C20)</f>
        <v>14</v>
      </c>
      <c r="E20" s="82">
        <f t="shared" si="5"/>
        <v>14</v>
      </c>
      <c r="F20" s="82">
        <f t="shared" si="6"/>
        <v>10</v>
      </c>
      <c r="G20" s="85"/>
      <c r="H20" s="85"/>
      <c r="I20" s="528">
        <v>30</v>
      </c>
      <c r="J20" s="528">
        <v>219</v>
      </c>
      <c r="K20" s="23">
        <f t="shared" si="8"/>
        <v>249</v>
      </c>
      <c r="L20" s="528">
        <v>86</v>
      </c>
      <c r="M20" s="82">
        <f t="shared" si="9"/>
        <v>116</v>
      </c>
      <c r="N20" s="528">
        <v>29</v>
      </c>
      <c r="O20" s="528">
        <v>139</v>
      </c>
      <c r="P20" s="133">
        <f t="shared" si="3"/>
        <v>0.83453237410071945</v>
      </c>
      <c r="Q20" s="528">
        <v>85</v>
      </c>
      <c r="R20" s="528">
        <v>0</v>
      </c>
      <c r="S20" s="132">
        <v>1712655</v>
      </c>
      <c r="T20" s="24">
        <f t="shared" si="7"/>
        <v>2304453</v>
      </c>
      <c r="U20" s="132">
        <v>2274853</v>
      </c>
      <c r="V20" s="132">
        <v>29600</v>
      </c>
      <c r="W20" s="135">
        <f t="shared" si="4"/>
        <v>1.2844696767519233E-2</v>
      </c>
    </row>
    <row r="21" spans="1:23" customFormat="1">
      <c r="A21" s="15">
        <v>2004</v>
      </c>
      <c r="B21" s="528">
        <v>8</v>
      </c>
      <c r="C21" s="528">
        <v>5</v>
      </c>
      <c r="D21" s="23">
        <f>SUM(B21:C21)</f>
        <v>13</v>
      </c>
      <c r="E21" s="82">
        <f t="shared" si="5"/>
        <v>18</v>
      </c>
      <c r="F21" s="82">
        <f t="shared" si="6"/>
        <v>11</v>
      </c>
      <c r="G21" s="85"/>
      <c r="H21" s="85"/>
      <c r="I21" s="528">
        <v>39</v>
      </c>
      <c r="J21" s="528">
        <v>210</v>
      </c>
      <c r="K21" s="23">
        <f t="shared" si="8"/>
        <v>249</v>
      </c>
      <c r="L21" s="528">
        <v>103.89</v>
      </c>
      <c r="M21" s="82">
        <f t="shared" si="9"/>
        <v>142.88999999999999</v>
      </c>
      <c r="N21" s="528">
        <v>24</v>
      </c>
      <c r="O21" s="131">
        <v>143.56</v>
      </c>
      <c r="P21" s="133">
        <f t="shared" si="3"/>
        <v>0.99533296182780706</v>
      </c>
      <c r="Q21" s="528">
        <v>59</v>
      </c>
      <c r="R21" s="528">
        <v>0</v>
      </c>
      <c r="S21" s="132">
        <v>1656062</v>
      </c>
      <c r="T21" s="24">
        <f t="shared" si="7"/>
        <v>1917908</v>
      </c>
      <c r="U21" s="132">
        <v>1893077</v>
      </c>
      <c r="V21" s="132">
        <v>24831</v>
      </c>
      <c r="W21" s="135">
        <f t="shared" si="4"/>
        <v>1.2946919247430012E-2</v>
      </c>
    </row>
    <row r="22" spans="1:23" customFormat="1">
      <c r="A22" s="15">
        <v>2003</v>
      </c>
      <c r="B22" s="528">
        <v>8</v>
      </c>
      <c r="C22" s="528">
        <v>4</v>
      </c>
      <c r="D22" s="23">
        <f>SUM(B22:C22)</f>
        <v>12</v>
      </c>
      <c r="E22" s="82">
        <f t="shared" si="5"/>
        <v>20</v>
      </c>
      <c r="F22" s="82">
        <f t="shared" si="6"/>
        <v>13</v>
      </c>
      <c r="G22" s="85"/>
      <c r="H22" s="85"/>
      <c r="I22" s="528">
        <v>53</v>
      </c>
      <c r="J22" s="528">
        <v>162</v>
      </c>
      <c r="K22" s="23">
        <f t="shared" si="8"/>
        <v>215</v>
      </c>
      <c r="L22" s="528">
        <v>107</v>
      </c>
      <c r="M22" s="82">
        <f t="shared" si="9"/>
        <v>160</v>
      </c>
      <c r="N22" s="528">
        <v>29</v>
      </c>
      <c r="O22" s="528">
        <v>161</v>
      </c>
      <c r="P22" s="133">
        <f t="shared" si="3"/>
        <v>0.99378881987577639</v>
      </c>
      <c r="Q22" s="528">
        <v>68</v>
      </c>
      <c r="R22" s="528">
        <v>0</v>
      </c>
      <c r="S22" s="132">
        <v>1136565</v>
      </c>
      <c r="T22" s="24">
        <f t="shared" si="7"/>
        <v>1488585</v>
      </c>
      <c r="U22" s="132">
        <v>998386</v>
      </c>
      <c r="V22" s="132">
        <v>490199</v>
      </c>
      <c r="W22" s="135">
        <f t="shared" si="4"/>
        <v>0.3293053470241874</v>
      </c>
    </row>
    <row r="23" spans="1:23" customFormat="1">
      <c r="A23" s="15">
        <v>2002</v>
      </c>
      <c r="B23" s="528">
        <v>7</v>
      </c>
      <c r="C23" s="528">
        <f>ROUND(7.6, 0)</f>
        <v>8</v>
      </c>
      <c r="D23" s="23">
        <f>SUM(B23:C23)</f>
        <v>15</v>
      </c>
      <c r="E23" s="82">
        <f t="shared" si="5"/>
        <v>21</v>
      </c>
      <c r="F23" s="82">
        <f t="shared" si="6"/>
        <v>10</v>
      </c>
      <c r="G23" s="85"/>
      <c r="H23" s="85"/>
      <c r="I23" s="528">
        <v>22</v>
      </c>
      <c r="J23" s="528">
        <v>189</v>
      </c>
      <c r="K23" s="23">
        <f t="shared" si="8"/>
        <v>211</v>
      </c>
      <c r="L23" s="528">
        <f>ROUND(124.375, 0)</f>
        <v>124</v>
      </c>
      <c r="M23" s="82">
        <f t="shared" si="9"/>
        <v>146</v>
      </c>
      <c r="N23" s="528">
        <v>31</v>
      </c>
      <c r="O23" s="528">
        <f>ROUND(146.375, 0)</f>
        <v>146</v>
      </c>
      <c r="P23" s="133">
        <f t="shared" si="3"/>
        <v>1</v>
      </c>
      <c r="Q23" s="528">
        <v>79</v>
      </c>
      <c r="R23" s="528">
        <v>0</v>
      </c>
      <c r="S23" s="132">
        <v>1111508</v>
      </c>
      <c r="T23" s="24">
        <f t="shared" si="7"/>
        <v>1359192</v>
      </c>
      <c r="U23" s="132">
        <v>825420</v>
      </c>
      <c r="V23" s="132">
        <v>533772</v>
      </c>
      <c r="W23" s="135">
        <f t="shared" si="4"/>
        <v>0.39271272932742396</v>
      </c>
    </row>
    <row r="24" spans="1:23" s="62" customFormat="1" ht="33.6" customHeight="1">
      <c r="A24" s="31"/>
      <c r="B24" s="126"/>
      <c r="C24" s="126"/>
      <c r="D24" s="126"/>
      <c r="E24" s="126"/>
      <c r="F24" s="126"/>
      <c r="G24" s="63"/>
      <c r="H24" s="63"/>
      <c r="I24" s="126"/>
      <c r="J24" s="126"/>
      <c r="K24" s="126"/>
      <c r="L24" s="126"/>
      <c r="M24" s="126"/>
      <c r="N24" s="126"/>
      <c r="O24" s="126"/>
      <c r="P24" s="126"/>
      <c r="Q24" s="126"/>
      <c r="R24" s="126"/>
      <c r="S24" s="126"/>
      <c r="T24" s="547" t="s">
        <v>58</v>
      </c>
      <c r="U24" s="548"/>
      <c r="V24" s="548"/>
      <c r="W24" s="548"/>
    </row>
    <row r="25" spans="1:23" s="62" customFormat="1">
      <c r="G25" s="63"/>
      <c r="H25" s="63"/>
    </row>
    <row r="26" spans="1:23" s="62" customFormat="1">
      <c r="G26" s="63"/>
      <c r="H26" s="63"/>
    </row>
    <row r="27" spans="1:23" s="62" customFormat="1">
      <c r="G27" s="63"/>
      <c r="H27" s="63"/>
    </row>
    <row r="28" spans="1:23" s="62" customFormat="1">
      <c r="G28" s="63"/>
      <c r="H28" s="63"/>
    </row>
    <row r="29" spans="1:23" s="62" customFormat="1">
      <c r="G29" s="63"/>
      <c r="H29" s="63"/>
      <c r="N29" s="12"/>
      <c r="O29" s="12"/>
    </row>
    <row r="30" spans="1:23" s="62" customFormat="1">
      <c r="G30" s="63"/>
      <c r="H30" s="63"/>
      <c r="N30" s="12"/>
      <c r="O30" s="12"/>
    </row>
    <row r="31" spans="1:23" s="62" customFormat="1">
      <c r="G31" s="63"/>
      <c r="H31" s="63"/>
    </row>
    <row r="32" spans="1:23" s="62" customFormat="1">
      <c r="G32" s="63"/>
      <c r="H32" s="63"/>
      <c r="N32" s="12"/>
      <c r="O32" s="12"/>
    </row>
    <row r="33" spans="7:16" s="62" customFormat="1">
      <c r="G33" s="63"/>
      <c r="H33" s="63"/>
    </row>
    <row r="34" spans="7:16" s="62" customFormat="1">
      <c r="G34" s="63"/>
      <c r="H34" s="63"/>
      <c r="N34" s="12"/>
      <c r="O34" s="12"/>
      <c r="P34" s="12"/>
    </row>
    <row r="35" spans="7:16" s="62" customFormat="1">
      <c r="G35" s="63"/>
      <c r="H35" s="63"/>
    </row>
  </sheetData>
  <mergeCells count="1">
    <mergeCell ref="T24:W24"/>
  </mergeCells>
  <printOptions headings="1" gridLines="1"/>
  <pageMargins left="0.5" right="0.5" top="0.5" bottom="0.5" header="0" footer="0"/>
  <pageSetup paperSize="5" scale="67" orientation="landscape" horizontalDpi="1200" verticalDpi="1200"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4c2b675-140f-477b-a560-fcf84ec15e89" xsi:nil="true"/>
    <lcf76f155ced4ddcb4097134ff3c332f xmlns="bdaad401-cb6a-400b-bb54-369afec3e61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A7071B86DD474EAFF17D3CCC811C40" ma:contentTypeVersion="19" ma:contentTypeDescription="Create a new document." ma:contentTypeScope="" ma:versionID="7c05d0277cc0a711bc98a4e708d263f4">
  <xsd:schema xmlns:xsd="http://www.w3.org/2001/XMLSchema" xmlns:xs="http://www.w3.org/2001/XMLSchema" xmlns:p="http://schemas.microsoft.com/office/2006/metadata/properties" xmlns:ns1="http://schemas.microsoft.com/sharepoint/v3" xmlns:ns2="bdaad401-cb6a-400b-bb54-369afec3e619" xmlns:ns3="84c2b675-140f-477b-a560-fcf84ec15e89" targetNamespace="http://schemas.microsoft.com/office/2006/metadata/properties" ma:root="true" ma:fieldsID="7280eb4d00ddd29f35226f211948d3e5" ns1:_="" ns2:_="" ns3:_="">
    <xsd:import namespace="http://schemas.microsoft.com/sharepoint/v3"/>
    <xsd:import namespace="bdaad401-cb6a-400b-bb54-369afec3e619"/>
    <xsd:import namespace="84c2b675-140f-477b-a560-fcf84ec15e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AutoKeyPoints" minOccurs="0"/>
                <xsd:element ref="ns2:MediaServiceKeyPoints" minOccurs="0"/>
                <xsd:element ref="ns2:MediaServiceOCR" minOccurs="0"/>
                <xsd:element ref="ns2:MediaServiceLocation"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aad401-cb6a-400b-bb54-369afec3e6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c2b675-140f-477b-a560-fcf84ec15e8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ea041a5f-0da2-4491-958a-c86113767b19}" ma:internalName="TaxCatchAll" ma:showField="CatchAllData" ma:web="84c2b675-140f-477b-a560-fcf84ec15e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584008-AFC2-4698-A6BB-42E8D4111E95}"/>
</file>

<file path=customXml/itemProps2.xml><?xml version="1.0" encoding="utf-8"?>
<ds:datastoreItem xmlns:ds="http://schemas.openxmlformats.org/officeDocument/2006/customXml" ds:itemID="{F605A489-565B-48E0-A4BC-8630F5FDDB3E}"/>
</file>

<file path=customXml/itemProps3.xml><?xml version="1.0" encoding="utf-8"?>
<ds:datastoreItem xmlns:ds="http://schemas.openxmlformats.org/officeDocument/2006/customXml" ds:itemID="{A506FCCA-8894-4966-90E4-0836E9FAD2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Kristen</dc:creator>
  <cp:keywords/>
  <dc:description/>
  <cp:lastModifiedBy>Bartow, Colet</cp:lastModifiedBy>
  <cp:revision/>
  <dcterms:created xsi:type="dcterms:W3CDTF">2015-06-09T16:00:45Z</dcterms:created>
  <dcterms:modified xsi:type="dcterms:W3CDTF">2023-08-29T18:46:32Z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0x010100C0A7071B86DD474EAFF17D3CCC811C40</vt:lpwstr>
  </property>
  <property fmtid="{D5CDD505-2E9C-101B-9397-08002B2CF9AE}" pid="3" name="MediaServiceImageTags">
    <vt:lpwstr/>
  </property>
</Properties>
</file>